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H:\Urbanistica\EDILIZIA\ONERI\2025\"/>
    </mc:Choice>
  </mc:AlternateContent>
  <bookViews>
    <workbookView xWindow="0" yWindow="0" windowWidth="28800" windowHeight="12300" tabRatio="713"/>
  </bookViews>
  <sheets>
    <sheet name="COSTO DI COST." sheetId="1" r:id="rId1"/>
    <sheet name="CONTRIBUTO COSTO COST." sheetId="4" r:id="rId2"/>
    <sheet name="ONERI URB." sheetId="10" r:id="rId3"/>
    <sheet name="TABELLA RIEPILOGATIVA" sheetId="5" r:id="rId4"/>
    <sheet name="RATE SCIA-CILA" sheetId="7" r:id="rId5"/>
    <sheet name="RATE PERMESSO" sheetId="8" r:id="rId6"/>
    <sheet name="TABELLA ONERI 2025" sheetId="6" r:id="rId7"/>
  </sheets>
  <definedNames>
    <definedName name="_xlnm.Print_Area" localSheetId="1">'CONTRIBUTO COSTO COST.'!$A$4:$L$26</definedName>
    <definedName name="_xlnm.Print_Area" localSheetId="0">'COSTO DI COST.'!$A$4:$I$47</definedName>
    <definedName name="_xlnm.Print_Area" localSheetId="2">'ONERI URB.'!$A$4:$G$60</definedName>
    <definedName name="_xlnm.Print_Area" localSheetId="4">'RATE SCIA-CILA'!$A$2:$I$41</definedName>
    <definedName name="_xlnm.Print_Area" localSheetId="3">'TABELLA RIEPILOGATIVA'!$A$1:$H$28</definedName>
  </definedNames>
  <calcPr calcId="162913"/>
</workbook>
</file>

<file path=xl/calcChain.xml><?xml version="1.0" encoding="utf-8"?>
<calcChain xmlns="http://schemas.openxmlformats.org/spreadsheetml/2006/main">
  <c r="C34" i="10" l="1"/>
  <c r="C36" i="10" s="1"/>
  <c r="C35" i="10" l="1"/>
  <c r="C37" i="10" s="1"/>
  <c r="C29" i="10"/>
  <c r="C31" i="10" s="1"/>
  <c r="F43" i="1"/>
  <c r="C56" i="10" l="1"/>
  <c r="E10" i="5" s="1"/>
  <c r="C30" i="10"/>
  <c r="C32" i="10" s="1"/>
  <c r="C50" i="10"/>
  <c r="C52" i="10" s="1"/>
  <c r="D50" i="10"/>
  <c r="D52" i="10" s="1"/>
  <c r="E50" i="10"/>
  <c r="E52" i="10" s="1"/>
  <c r="F50" i="10"/>
  <c r="F52" i="10" s="1"/>
  <c r="G50" i="10"/>
  <c r="G52" i="10" s="1"/>
  <c r="G49" i="10"/>
  <c r="G51" i="10" s="1"/>
  <c r="F49" i="10"/>
  <c r="F51" i="10" s="1"/>
  <c r="E49" i="10"/>
  <c r="E51" i="10" s="1"/>
  <c r="D49" i="10"/>
  <c r="D51" i="10" s="1"/>
  <c r="C49" i="10"/>
  <c r="C51" i="10" s="1"/>
  <c r="C45" i="10"/>
  <c r="C47" i="10" s="1"/>
  <c r="D45" i="10"/>
  <c r="D47" i="10" s="1"/>
  <c r="E45" i="10"/>
  <c r="E47" i="10" s="1"/>
  <c r="F45" i="10"/>
  <c r="F47" i="10" s="1"/>
  <c r="G45" i="10"/>
  <c r="G47" i="10" s="1"/>
  <c r="G44" i="10"/>
  <c r="G46" i="10" s="1"/>
  <c r="F44" i="10"/>
  <c r="F46" i="10" s="1"/>
  <c r="E44" i="10"/>
  <c r="E46" i="10" s="1"/>
  <c r="D44" i="10"/>
  <c r="D46" i="10" s="1"/>
  <c r="C44" i="10"/>
  <c r="C46" i="10" s="1"/>
  <c r="E40" i="10"/>
  <c r="E42" i="10" s="1"/>
  <c r="F40" i="10"/>
  <c r="F42" i="10" s="1"/>
  <c r="G40" i="10"/>
  <c r="G42" i="10" s="1"/>
  <c r="G39" i="10"/>
  <c r="G41" i="10" s="1"/>
  <c r="F39" i="10"/>
  <c r="F41" i="10" s="1"/>
  <c r="E39" i="10"/>
  <c r="E41" i="10" s="1"/>
  <c r="D40" i="10"/>
  <c r="D42" i="10" s="1"/>
  <c r="D39" i="10"/>
  <c r="D41" i="10" s="1"/>
  <c r="C40" i="10"/>
  <c r="C42" i="10" s="1"/>
  <c r="C39" i="10"/>
  <c r="C41" i="10" s="1"/>
  <c r="G25" i="10"/>
  <c r="G27" i="10" s="1"/>
  <c r="F25" i="10"/>
  <c r="F27" i="10" s="1"/>
  <c r="E25" i="10"/>
  <c r="E27" i="10" s="1"/>
  <c r="D25" i="10"/>
  <c r="D27" i="10" s="1"/>
  <c r="C25" i="10"/>
  <c r="C27" i="10" s="1"/>
  <c r="G24" i="10"/>
  <c r="G26" i="10" s="1"/>
  <c r="F24" i="10"/>
  <c r="F26" i="10" s="1"/>
  <c r="E24" i="10"/>
  <c r="E26" i="10" s="1"/>
  <c r="D24" i="10"/>
  <c r="D26" i="10" s="1"/>
  <c r="C24" i="10"/>
  <c r="C26" i="10" s="1"/>
  <c r="G20" i="10"/>
  <c r="G22" i="10" s="1"/>
  <c r="F20" i="10"/>
  <c r="F22" i="10" s="1"/>
  <c r="E20" i="10"/>
  <c r="E22" i="10" s="1"/>
  <c r="D20" i="10"/>
  <c r="D22" i="10" s="1"/>
  <c r="C20" i="10"/>
  <c r="C22" i="10" s="1"/>
  <c r="G19" i="10"/>
  <c r="G21" i="10" s="1"/>
  <c r="F19" i="10"/>
  <c r="F21" i="10" s="1"/>
  <c r="E19" i="10"/>
  <c r="E21" i="10" s="1"/>
  <c r="D19" i="10"/>
  <c r="D21" i="10" s="1"/>
  <c r="C19" i="10"/>
  <c r="C21" i="10" s="1"/>
  <c r="G15" i="10"/>
  <c r="G17" i="10" s="1"/>
  <c r="F15" i="10"/>
  <c r="F17" i="10" s="1"/>
  <c r="E15" i="10"/>
  <c r="E17" i="10" s="1"/>
  <c r="D15" i="10"/>
  <c r="D17" i="10" s="1"/>
  <c r="C15" i="10"/>
  <c r="C17" i="10" s="1"/>
  <c r="G14" i="10"/>
  <c r="G16" i="10" s="1"/>
  <c r="F14" i="10"/>
  <c r="F16" i="10" s="1"/>
  <c r="E14" i="10"/>
  <c r="E16" i="10" s="1"/>
  <c r="D14" i="10"/>
  <c r="D16" i="10" s="1"/>
  <c r="C14" i="10"/>
  <c r="C16" i="10" s="1"/>
  <c r="G10" i="10"/>
  <c r="G12" i="10" s="1"/>
  <c r="G9" i="10"/>
  <c r="G11" i="10" s="1"/>
  <c r="F10" i="10"/>
  <c r="F12" i="10" s="1"/>
  <c r="F9" i="10"/>
  <c r="F11" i="10" s="1"/>
  <c r="E10" i="10"/>
  <c r="E12" i="10" s="1"/>
  <c r="E9" i="10"/>
  <c r="E11" i="10" s="1"/>
  <c r="D10" i="10"/>
  <c r="D12" i="10" s="1"/>
  <c r="D9" i="10"/>
  <c r="D11" i="10" s="1"/>
  <c r="C10" i="10"/>
  <c r="C12" i="10" s="1"/>
  <c r="C9" i="10"/>
  <c r="C11" i="10" s="1"/>
  <c r="I30" i="1"/>
  <c r="I31" i="1"/>
  <c r="I32" i="1"/>
  <c r="I33" i="1"/>
  <c r="I34" i="1"/>
  <c r="I29" i="1"/>
  <c r="C57" i="10" l="1"/>
  <c r="E11" i="5" s="1"/>
  <c r="I35" i="1"/>
  <c r="F54" i="10"/>
  <c r="E55" i="10"/>
  <c r="F55" i="10"/>
  <c r="C54" i="10"/>
  <c r="G54" i="10"/>
  <c r="D55" i="10"/>
  <c r="E54" i="10"/>
  <c r="C55" i="10"/>
  <c r="G55" i="10"/>
  <c r="D54" i="10"/>
  <c r="E6" i="5" l="1"/>
  <c r="E7" i="5"/>
  <c r="C60" i="10"/>
  <c r="D5" i="8"/>
  <c r="C59" i="10"/>
  <c r="E12" i="5"/>
  <c r="I14" i="7"/>
  <c r="I22" i="7" s="1"/>
  <c r="E14" i="1"/>
  <c r="C23" i="1"/>
  <c r="D30" i="1" s="1"/>
  <c r="D31" i="1" s="1"/>
  <c r="D40" i="1"/>
  <c r="D41" i="1" s="1"/>
  <c r="F9" i="1"/>
  <c r="H9" i="1" s="1"/>
  <c r="F10" i="1"/>
  <c r="H10" i="1" s="1"/>
  <c r="F11" i="1"/>
  <c r="H11" i="1" s="1"/>
  <c r="F12" i="1"/>
  <c r="H12" i="1" s="1"/>
  <c r="F13" i="1"/>
  <c r="H13" i="1" s="1"/>
  <c r="K47" i="1"/>
  <c r="K44" i="1"/>
  <c r="K43" i="1"/>
  <c r="J26" i="4"/>
  <c r="D6" i="4"/>
  <c r="D10" i="4"/>
  <c r="D14" i="4"/>
  <c r="D12" i="4"/>
  <c r="C14" i="4"/>
  <c r="C12" i="4"/>
  <c r="C10" i="4"/>
  <c r="C8" i="4"/>
  <c r="L47" i="1"/>
  <c r="L48" i="1"/>
  <c r="L49" i="1"/>
  <c r="L50" i="1"/>
  <c r="L46" i="1"/>
  <c r="K45" i="1"/>
  <c r="K46" i="1"/>
  <c r="K48" i="1"/>
  <c r="K49" i="1"/>
  <c r="K50" i="1"/>
  <c r="D8" i="4"/>
  <c r="D16" i="4"/>
  <c r="C16" i="4"/>
  <c r="C6" i="4"/>
  <c r="C14" i="1"/>
  <c r="D5" i="7" l="1"/>
  <c r="D4" i="8"/>
  <c r="D6" i="7"/>
  <c r="E15" i="7" s="1"/>
  <c r="E19" i="7" s="1"/>
  <c r="E8" i="5"/>
  <c r="I34" i="7"/>
  <c r="I18" i="7"/>
  <c r="I30" i="7"/>
  <c r="I26" i="7"/>
  <c r="I14" i="1"/>
  <c r="D17" i="4"/>
  <c r="D29" i="1"/>
  <c r="D32" i="1" s="1"/>
  <c r="D24" i="1"/>
  <c r="G15" i="7" l="1"/>
  <c r="G19" i="7" s="1"/>
  <c r="C15" i="7"/>
  <c r="H15" i="7"/>
  <c r="H27" i="7" s="1"/>
  <c r="E23" i="7"/>
  <c r="F15" i="7"/>
  <c r="F19" i="7" s="1"/>
  <c r="D15" i="7"/>
  <c r="D19" i="7" s="1"/>
  <c r="K22" i="1"/>
  <c r="G22" i="1" s="1"/>
  <c r="K23" i="1"/>
  <c r="G23" i="1" s="1"/>
  <c r="K24" i="1"/>
  <c r="G24" i="1" s="1"/>
  <c r="K21" i="1"/>
  <c r="C14" i="8"/>
  <c r="H14" i="8"/>
  <c r="G14" i="8"/>
  <c r="D14" i="8"/>
  <c r="D18" i="8" s="1"/>
  <c r="F14" i="8"/>
  <c r="E14" i="8"/>
  <c r="F13" i="8"/>
  <c r="E13" i="8"/>
  <c r="C13" i="8"/>
  <c r="D6" i="8"/>
  <c r="H13" i="8"/>
  <c r="D13" i="8"/>
  <c r="G13" i="8"/>
  <c r="E6" i="4"/>
  <c r="E8" i="4"/>
  <c r="E10" i="4"/>
  <c r="E12" i="4"/>
  <c r="E14" i="4"/>
  <c r="E16" i="4"/>
  <c r="F14" i="7"/>
  <c r="E14" i="7"/>
  <c r="D7" i="7"/>
  <c r="H14" i="7"/>
  <c r="G14" i="7"/>
  <c r="D14" i="7"/>
  <c r="C14" i="7"/>
  <c r="G23" i="7" l="1"/>
  <c r="G27" i="7"/>
  <c r="F23" i="7"/>
  <c r="H19" i="7"/>
  <c r="G31" i="7"/>
  <c r="H31" i="7"/>
  <c r="F27" i="7"/>
  <c r="H23" i="7"/>
  <c r="H35" i="7"/>
  <c r="H34" i="7"/>
  <c r="H30" i="7"/>
  <c r="H22" i="7"/>
  <c r="H18" i="7"/>
  <c r="H26" i="7"/>
  <c r="F17" i="8"/>
  <c r="F21" i="8"/>
  <c r="F25" i="8"/>
  <c r="H26" i="8"/>
  <c r="H30" i="8"/>
  <c r="H18" i="8"/>
  <c r="H34" i="8"/>
  <c r="H22" i="8"/>
  <c r="F22" i="8"/>
  <c r="F26" i="8"/>
  <c r="F18" i="8"/>
  <c r="D18" i="7"/>
  <c r="E18" i="7"/>
  <c r="E22" i="7"/>
  <c r="G17" i="8"/>
  <c r="G21" i="8"/>
  <c r="G25" i="8"/>
  <c r="G29" i="8"/>
  <c r="G26" i="7"/>
  <c r="G22" i="7"/>
  <c r="G30" i="7"/>
  <c r="G18" i="7"/>
  <c r="F22" i="7"/>
  <c r="F18" i="7"/>
  <c r="F26" i="7"/>
  <c r="D17" i="8"/>
  <c r="E17" i="8"/>
  <c r="E21" i="8"/>
  <c r="G22" i="8"/>
  <c r="G18" i="8"/>
  <c r="G26" i="8"/>
  <c r="G30" i="8"/>
  <c r="G21" i="1"/>
  <c r="I25" i="1"/>
  <c r="I38" i="1" s="1"/>
  <c r="J38" i="1" s="1"/>
  <c r="K38" i="1" s="1"/>
  <c r="F41" i="1" s="1"/>
  <c r="G41" i="1" s="1"/>
  <c r="F45" i="1" s="1"/>
  <c r="F47" i="1" s="1"/>
  <c r="H29" i="8"/>
  <c r="H33" i="8"/>
  <c r="H21" i="8"/>
  <c r="H17" i="8"/>
  <c r="H25" i="8"/>
  <c r="E22" i="8"/>
  <c r="E18" i="8"/>
  <c r="H6" i="4" l="1"/>
  <c r="H12" i="4"/>
  <c r="H14" i="4"/>
  <c r="H16" i="4"/>
  <c r="H10" i="4"/>
  <c r="H8" i="4"/>
  <c r="I16" i="4" l="1"/>
  <c r="J16" i="4" s="1"/>
  <c r="K16" i="4"/>
  <c r="L16" i="4" s="1"/>
  <c r="I14" i="4"/>
  <c r="J14" i="4" s="1"/>
  <c r="K14" i="4"/>
  <c r="L14" i="4" s="1"/>
  <c r="I8" i="4"/>
  <c r="J8" i="4" s="1"/>
  <c r="K8" i="4"/>
  <c r="L8" i="4" s="1"/>
  <c r="I12" i="4"/>
  <c r="J12" i="4" s="1"/>
  <c r="K12" i="4"/>
  <c r="L12" i="4" s="1"/>
  <c r="I10" i="4"/>
  <c r="J10" i="4" s="1"/>
  <c r="K10" i="4"/>
  <c r="L10" i="4" s="1"/>
  <c r="K6" i="4"/>
  <c r="L6" i="4" s="1"/>
  <c r="I6" i="4"/>
  <c r="J6" i="4" s="1"/>
  <c r="L17" i="4" l="1"/>
  <c r="J17" i="4"/>
  <c r="K26" i="4" s="1"/>
  <c r="E14" i="5" s="1"/>
  <c r="E16" i="5" l="1"/>
  <c r="H26" i="4"/>
  <c r="D7" i="8" l="1"/>
  <c r="D10" i="8" s="1"/>
  <c r="D8" i="7"/>
  <c r="D11" i="7" s="1"/>
  <c r="G16" i="7" l="1"/>
  <c r="D16" i="7"/>
  <c r="C16" i="7"/>
  <c r="C17" i="7" s="1"/>
  <c r="H16" i="7"/>
  <c r="F16" i="7"/>
  <c r="E16" i="7"/>
  <c r="G15" i="8"/>
  <c r="D15" i="8"/>
  <c r="F15" i="8"/>
  <c r="E15" i="8"/>
  <c r="C15" i="8"/>
  <c r="C16" i="8" s="1"/>
  <c r="H15" i="8"/>
  <c r="E23" i="8" l="1"/>
  <c r="E24" i="8" s="1"/>
  <c r="E19" i="8"/>
  <c r="E20" i="8" s="1"/>
  <c r="E16" i="8"/>
  <c r="G27" i="8"/>
  <c r="G28" i="8" s="1"/>
  <c r="G31" i="8"/>
  <c r="G32" i="8" s="1"/>
  <c r="G19" i="8"/>
  <c r="G20" i="8" s="1"/>
  <c r="G23" i="8"/>
  <c r="G24" i="8" s="1"/>
  <c r="G16" i="8"/>
  <c r="H32" i="7"/>
  <c r="H33" i="7" s="1"/>
  <c r="H24" i="7"/>
  <c r="H25" i="7" s="1"/>
  <c r="H20" i="7"/>
  <c r="H21" i="7" s="1"/>
  <c r="H36" i="7"/>
  <c r="H37" i="7" s="1"/>
  <c r="H28" i="7"/>
  <c r="H29" i="7" s="1"/>
  <c r="H17" i="7"/>
  <c r="F23" i="8"/>
  <c r="F24" i="8" s="1"/>
  <c r="F27" i="8"/>
  <c r="F28" i="8" s="1"/>
  <c r="F19" i="8"/>
  <c r="F20" i="8" s="1"/>
  <c r="F16" i="8"/>
  <c r="E24" i="7"/>
  <c r="E25" i="7" s="1"/>
  <c r="E20" i="7"/>
  <c r="E21" i="7" s="1"/>
  <c r="E17" i="7"/>
  <c r="D20" i="7"/>
  <c r="D21" i="7" s="1"/>
  <c r="D38" i="7" s="1"/>
  <c r="D17" i="7"/>
  <c r="H19" i="8"/>
  <c r="H20" i="8" s="1"/>
  <c r="H35" i="8"/>
  <c r="H36" i="8" s="1"/>
  <c r="H23" i="8"/>
  <c r="H24" i="8" s="1"/>
  <c r="H27" i="8"/>
  <c r="H28" i="8" s="1"/>
  <c r="H31" i="8"/>
  <c r="H32" i="8" s="1"/>
  <c r="H16" i="8"/>
  <c r="D19" i="8"/>
  <c r="D20" i="8" s="1"/>
  <c r="D37" i="8" s="1"/>
  <c r="D16" i="8"/>
  <c r="F28" i="7"/>
  <c r="F29" i="7" s="1"/>
  <c r="F20" i="7"/>
  <c r="F21" i="7" s="1"/>
  <c r="F24" i="7"/>
  <c r="F25" i="7" s="1"/>
  <c r="F17" i="7"/>
  <c r="G32" i="7"/>
  <c r="G33" i="7" s="1"/>
  <c r="G28" i="7"/>
  <c r="G29" i="7" s="1"/>
  <c r="G24" i="7"/>
  <c r="G25" i="7" s="1"/>
  <c r="G20" i="7"/>
  <c r="G21" i="7" s="1"/>
  <c r="G17" i="7"/>
  <c r="G37" i="8" l="1"/>
  <c r="E37" i="8"/>
  <c r="H37" i="8"/>
  <c r="E38" i="7"/>
  <c r="G38" i="7"/>
  <c r="H38" i="7"/>
  <c r="F38" i="7"/>
  <c r="F37" i="8"/>
</calcChain>
</file>

<file path=xl/comments1.xml><?xml version="1.0" encoding="utf-8"?>
<comments xmlns="http://schemas.openxmlformats.org/spreadsheetml/2006/main">
  <authors>
    <author>f.filippini</author>
  </authors>
  <commentList>
    <comment ref="C7" authorId="0" shapeId="0">
      <text>
        <r>
          <rPr>
            <b/>
            <sz val="8"/>
            <color indexed="81"/>
            <rFont val="Tahoma"/>
            <family val="2"/>
          </rPr>
          <t>Inserire il numero di alloggi per ciascuna classe di superficie</t>
        </r>
      </text>
    </comment>
    <comment ref="D7" authorId="0" shapeId="0">
      <text>
        <r>
          <rPr>
            <b/>
            <sz val="8"/>
            <color indexed="81"/>
            <rFont val="Tahoma"/>
            <family val="2"/>
          </rPr>
          <t>Inserire la superficie utile di tutti gli appartamenti appartenenti alla classe</t>
        </r>
      </text>
    </comment>
  </commentList>
</comments>
</file>

<file path=xl/sharedStrings.xml><?xml version="1.0" encoding="utf-8"?>
<sst xmlns="http://schemas.openxmlformats.org/spreadsheetml/2006/main" count="336" uniqueCount="221">
  <si>
    <t>Tabella 1. - Incremento per superficie utile abitabile (art. 5)</t>
  </si>
  <si>
    <t>Classi di superficie utile (mq)</t>
  </si>
  <si>
    <t>Alloggi (n.)</t>
  </si>
  <si>
    <t>Superficie utile abitabile (mq)</t>
  </si>
  <si>
    <t>Rapporto rispetto al totale Su</t>
  </si>
  <si>
    <t>% Incremento (art. 5)</t>
  </si>
  <si>
    <t>Incremento per classi di superficie</t>
  </si>
  <si>
    <t>Tabella 2. - Superfici per servizi e accessori relativi alla parte residenziale (art.2)</t>
  </si>
  <si>
    <t>DESTINAZIONI</t>
  </si>
  <si>
    <t>Superficie netta di servizi e accessori (mq)</t>
  </si>
  <si>
    <t>a</t>
  </si>
  <si>
    <t>b</t>
  </si>
  <si>
    <t>c</t>
  </si>
  <si>
    <t>d</t>
  </si>
  <si>
    <t>Cantinole, soffitte, locali motore ascensore, cabine idriche, lavatoi comunali, centrali termiche, ed altri locali a stretto servizio delle residenze</t>
  </si>
  <si>
    <t xml:space="preserve">  Autorimesse:      singole  collettive</t>
  </si>
  <si>
    <t>logge e balconi</t>
  </si>
  <si>
    <t>Androni d'ingresso e porticati liberi</t>
  </si>
  <si>
    <t>Snr</t>
  </si>
  <si>
    <t>Tabella 3. - Incremento per servizi e accessori relativi alla parte residenziale (art.6)</t>
  </si>
  <si>
    <t>Intervalli di variabilità del rapporto percentuale</t>
  </si>
  <si>
    <t>Ipotesi che ricorre</t>
  </si>
  <si>
    <t>% incremento</t>
  </si>
  <si>
    <t>(9)</t>
  </si>
  <si>
    <t>(10)</t>
  </si>
  <si>
    <t>(11)</t>
  </si>
  <si>
    <t>SUPERFICI RESIDENZIALI E RELATIVI SERVIZI E ACCESSORI</t>
  </si>
  <si>
    <t>Sigla</t>
  </si>
  <si>
    <t>Denominazione</t>
  </si>
  <si>
    <t>Superficie (mq)</t>
  </si>
  <si>
    <t>Su (art.3)</t>
  </si>
  <si>
    <t>Superficie utile abitabile</t>
  </si>
  <si>
    <t>Snr (art.2)</t>
  </si>
  <si>
    <t>Superficie netta non residenziale</t>
  </si>
  <si>
    <t>60% Snr</t>
  </si>
  <si>
    <t>Superficie ragguagliata</t>
  </si>
  <si>
    <t>4 = 1+3</t>
  </si>
  <si>
    <t>Sc (art.2)</t>
  </si>
  <si>
    <t>SUPERFICI PER ATTIVITA' TURISTICHE E COMMERCIALI E DIREZIONALI E RELATIVI ACCESSORI</t>
  </si>
  <si>
    <t>Sa (art.2)</t>
  </si>
  <si>
    <t>Sn (art.9)</t>
  </si>
  <si>
    <t>Superficie accessori</t>
  </si>
  <si>
    <t>60% Sa</t>
  </si>
  <si>
    <t>St (art.9)</t>
  </si>
  <si>
    <t>Superficie totale non residenziale</t>
  </si>
  <si>
    <t>Tabella 4. - Incremento per particolari caratteristiche (art.7)</t>
  </si>
  <si>
    <t>numero di caratteristiche</t>
  </si>
  <si>
    <t>Classe edificio</t>
  </si>
  <si>
    <t>% maggiorazione (M)</t>
  </si>
  <si>
    <t>(i2) =</t>
  </si>
  <si>
    <t>somma (i1)=</t>
  </si>
  <si>
    <t>(i3) =</t>
  </si>
  <si>
    <t>A - Costo medio a mq. dell'edilizia agevolata</t>
  </si>
  <si>
    <t>C - Costo a mq. di costruzione maggiorato</t>
  </si>
  <si>
    <r>
      <t>Totale incrementi</t>
    </r>
    <r>
      <rPr>
        <sz val="9"/>
        <rFont val="Arial"/>
        <family val="2"/>
      </rPr>
      <t xml:space="preserve"> i=i1+i2+i3</t>
    </r>
  </si>
  <si>
    <t>(tot. n. alloggi)</t>
  </si>
  <si>
    <t>Su =</t>
  </si>
  <si>
    <t>D - Costo di costruzione dell'edificio:             (Sc + St) x C</t>
  </si>
  <si>
    <r>
      <t xml:space="preserve">PROSPETTO PER LA DETERMINAZIONE DEL COSTO DI COSTRUZIONE                                                   </t>
    </r>
    <r>
      <rPr>
        <sz val="12"/>
        <rFont val="Arial"/>
        <family val="2"/>
      </rPr>
      <t>(Legge 28 gennaio 1977 n.10)</t>
    </r>
  </si>
  <si>
    <t>Classi per superfici dei quartieri</t>
  </si>
  <si>
    <t>Alloggi n.</t>
  </si>
  <si>
    <t>S.u.</t>
  </si>
  <si>
    <t>Rapporto sul totale</t>
  </si>
  <si>
    <t>Costo di costruzione</t>
  </si>
  <si>
    <t>SNR =&lt; 45 MQ</t>
  </si>
  <si>
    <t>A)</t>
  </si>
  <si>
    <t>SU =&lt; 95 MQ</t>
  </si>
  <si>
    <t>B)</t>
  </si>
  <si>
    <t>SU &gt; 95 MQ &lt; 110 MQ</t>
  </si>
  <si>
    <t>SNR =&lt; 40 MQ</t>
  </si>
  <si>
    <t>C)</t>
  </si>
  <si>
    <t>D)</t>
  </si>
  <si>
    <t>E)</t>
  </si>
  <si>
    <t>SU &gt; 110 MQ &lt; 130 MQ</t>
  </si>
  <si>
    <t>SNR =&lt; 50 MQ</t>
  </si>
  <si>
    <t>SU &gt; 130 MQ &lt; 160 MQ</t>
  </si>
  <si>
    <t>SNR =&lt; 55 MQ</t>
  </si>
  <si>
    <t>SU &gt; 160 MQ</t>
  </si>
  <si>
    <t>SNR =&lt; 60 MQ</t>
  </si>
  <si>
    <t>F)</t>
  </si>
  <si>
    <t>Abitazioni di lusso (D.M. 2/8/1969)</t>
  </si>
  <si>
    <t>Tot.</t>
  </si>
  <si>
    <t>Interventi di nuova costruzione</t>
  </si>
  <si>
    <t>Percentuali da applicare in base al tipo di intervento</t>
  </si>
  <si>
    <t>Determinazione importo da pagare per il tipo di intervento</t>
  </si>
  <si>
    <t>Oneri di urbanizzazione primaria</t>
  </si>
  <si>
    <t>Oneri di urbanizzazione secondaria</t>
  </si>
  <si>
    <t>Riepilogo importi dovuti</t>
  </si>
  <si>
    <t>Totale oneri di urbanizzazione</t>
  </si>
  <si>
    <t>Contributo sul costo di costruzione</t>
  </si>
  <si>
    <t>Totale somme dovute</t>
  </si>
  <si>
    <t>&lt;= 95</t>
  </si>
  <si>
    <t>&gt; 95 &lt;= 110</t>
  </si>
  <si>
    <t>&gt; 110 &lt;= 130</t>
  </si>
  <si>
    <t>&gt; 130 &lt;= 160</t>
  </si>
  <si>
    <t>&gt; 160</t>
  </si>
  <si>
    <t>&lt;= 50%</t>
  </si>
  <si>
    <t>&gt; 50 % &lt;= 75 %</t>
  </si>
  <si>
    <t>&gt; 75 % &lt;= 100 %</t>
  </si>
  <si>
    <t>&gt; 100 %</t>
  </si>
  <si>
    <t xml:space="preserve"> </t>
  </si>
  <si>
    <t>Il Tecnico</t>
  </si>
  <si>
    <r>
      <t xml:space="preserve">* N.B. </t>
    </r>
    <r>
      <rPr>
        <b/>
        <sz val="9"/>
        <rFont val="Arial"/>
        <family val="2"/>
      </rPr>
      <t>Per le nuove costruzioni</t>
    </r>
    <r>
      <rPr>
        <sz val="9"/>
        <rFont val="Arial"/>
        <family val="2"/>
      </rPr>
      <t xml:space="preserve"> se per una o più abitazioni viene superata la superficie non residenziale della classe l'abitazione passa alla classe successiva (es. se una abitazione ha una s.u. di 105 mq e una s.n.r. 58 mq la stessa deve essere inserita nella classe C) anziché nella B); questa operazione deve essere fatta </t>
    </r>
    <r>
      <rPr>
        <b/>
        <sz val="9"/>
        <rFont val="Arial"/>
        <family val="2"/>
      </rPr>
      <t>manualmente</t>
    </r>
    <r>
      <rPr>
        <sz val="9"/>
        <rFont val="Arial"/>
        <family val="2"/>
      </rPr>
      <t xml:space="preserve"> modificando i valori riportati automaticamente dal precedente foglio) - Per gli interventi di </t>
    </r>
    <r>
      <rPr>
        <b/>
        <sz val="9"/>
        <rFont val="Arial"/>
        <family val="2"/>
      </rPr>
      <t>ristrutturazione edilizia si applica sempre l'aliquota dell'8%</t>
    </r>
    <r>
      <rPr>
        <sz val="9"/>
        <rFont val="Arial"/>
        <family val="2"/>
      </rPr>
      <t xml:space="preserve">, indipendentemente dalla superficie dell'appartamento e dalla superficie non residenziale. </t>
    </r>
  </si>
  <si>
    <t>Interventi di ristrutturazione edilizia</t>
  </si>
  <si>
    <t>Classe</t>
  </si>
  <si>
    <t>Maggiorazione</t>
  </si>
  <si>
    <t>Incremento</t>
  </si>
  <si>
    <t>% Nuova costruzione</t>
  </si>
  <si>
    <t>% Ristrutturzione</t>
  </si>
  <si>
    <t>Contributo in rap. al totale nuova costruzione</t>
  </si>
  <si>
    <t>Contributo per classi di quartieri nuova costruzione</t>
  </si>
  <si>
    <t>Contributo in rap. al totale ristrutturazione</t>
  </si>
  <si>
    <t>Contributo per classi di quartieri ristrutturazione</t>
  </si>
  <si>
    <t>Importo dovuto per il tipo di intervento calcolato sul contributo totale ovvero:</t>
  </si>
  <si>
    <t xml:space="preserve">X </t>
  </si>
  <si>
    <t>Residenza</t>
  </si>
  <si>
    <t>Industria artigianato agricolo non residenziale</t>
  </si>
  <si>
    <t>Commercio all'ingrosso</t>
  </si>
  <si>
    <t>€/mc</t>
  </si>
  <si>
    <t>€/mq</t>
  </si>
  <si>
    <t>Interventi di restauro</t>
  </si>
  <si>
    <t>Opere urb. 1°</t>
  </si>
  <si>
    <t>e ristrutturazione edilizia</t>
  </si>
  <si>
    <t>Opere urb. 2°</t>
  </si>
  <si>
    <t>Totale</t>
  </si>
  <si>
    <t xml:space="preserve">Cambi di destinazione senza opere edilizie </t>
  </si>
  <si>
    <t>da qualsiasi categoria a quella interessata</t>
  </si>
  <si>
    <t>Interventi di sostituzione edilizia</t>
  </si>
  <si>
    <t>Interventi di ristrutturazione</t>
  </si>
  <si>
    <t>urbanistica</t>
  </si>
  <si>
    <t>Oneri verdi ex comma 3 art. 45  L. R. 1/2005</t>
  </si>
  <si>
    <t>INTERVENTI DI NUOVA EDIFICAZIONE</t>
  </si>
  <si>
    <t>ricostruzione a seguito di demolizione</t>
  </si>
  <si>
    <t xml:space="preserve"> senza aumento di volume</t>
  </si>
  <si>
    <t xml:space="preserve">con indice di fabbricabilità compreso </t>
  </si>
  <si>
    <t>con indice di fabbricabilità superiore</t>
  </si>
  <si>
    <t>1) anche per ampliamenti classificabili negli interventi di ristrutturazione edilizia</t>
  </si>
  <si>
    <t>2) Nel caso gli interventi comportino il cambiamento della originaria destinazione residenziale i coefficienti sono aumentati del 50%</t>
  </si>
  <si>
    <t>3) Alimentari, tessili, calzaturiere, chimiche ed affini, cartiere e cartotecniche</t>
  </si>
  <si>
    <t>Industria artigianato categorie speciali</t>
  </si>
  <si>
    <t>TAB. 1 - DISTINTA DEGLI IMPORTI</t>
  </si>
  <si>
    <t>Data presentazione</t>
  </si>
  <si>
    <t>1- Totale oneri di urbanizzazione</t>
  </si>
  <si>
    <t>Importo totale dovuto</t>
  </si>
  <si>
    <t>Interesse legale annuo</t>
  </si>
  <si>
    <t>Se si paga in:</t>
  </si>
  <si>
    <t>1 rata</t>
  </si>
  <si>
    <t>2 rate</t>
  </si>
  <si>
    <t>3 rate</t>
  </si>
  <si>
    <t>4 rate</t>
  </si>
  <si>
    <t>5 rate</t>
  </si>
  <si>
    <t>6 rate</t>
  </si>
  <si>
    <t>Scadenza</t>
  </si>
  <si>
    <t>La fidejussione dovrà garantire</t>
  </si>
  <si>
    <t>RATEIZZAZIONE ONERI DI URBANIZZAZIONE PER PERMESSO DI COSTRUIRE</t>
  </si>
  <si>
    <t>MODIFICARE SOLO LE CASELLE GRIGIE!!!</t>
  </si>
  <si>
    <t>MODIFICARE SOLO LA CASELLA GRIGIA!!!</t>
  </si>
  <si>
    <t>COMPILARE SOLO LA CASELLA ROSSA!</t>
  </si>
  <si>
    <t>Base per determinazione contributo commisurato al costo di costruzione</t>
  </si>
  <si>
    <t>Commercio turismo direzionale servizi</t>
  </si>
  <si>
    <t>TAB. 2 - IPOTESI DI RATEIZZAZIONE ONERI DI URBANIZZAZIONE E CONTRIBUTO SUL COSTO DI COSTRUZIONE</t>
  </si>
  <si>
    <t>6 mesi dal ritiro del permesso</t>
  </si>
  <si>
    <t>1 anno dal ritiro del permesso</t>
  </si>
  <si>
    <t>18 mesi dal ritiro del permesso</t>
  </si>
  <si>
    <t>2 anni dal ritiro del permesso</t>
  </si>
  <si>
    <t>30 mesi dal ritiro del permesso</t>
  </si>
  <si>
    <t>I</t>
  </si>
  <si>
    <t>II</t>
  </si>
  <si>
    <t>Cc</t>
  </si>
  <si>
    <t xml:space="preserve">Prima del ritiro del permesso </t>
  </si>
  <si>
    <t>La 1° rata è</t>
  </si>
  <si>
    <t>La 2° rata è</t>
  </si>
  <si>
    <t>La 3° rata è</t>
  </si>
  <si>
    <t>La 4° rata è</t>
  </si>
  <si>
    <t>La 5° rata è</t>
  </si>
  <si>
    <t>La 6° rata è</t>
  </si>
  <si>
    <t>RATEIZZAZIONE ONERI DI URBANIZZAZIONE  PER SCIA E CILA</t>
  </si>
  <si>
    <t>NELLA CASELLA GRIGIA:
Lasciare 100% se si tratta di nuova costruzione
Scrivere 60 se si tratta di ristrutturazione</t>
  </si>
  <si>
    <t>INTERVENTI SU EDIFICIO ESISTENTE</t>
  </si>
  <si>
    <t>con Indice di edificabilità fondiaria 1,5 m3/m2 &lt;= (IF) &lt; 3 m3/m2</t>
  </si>
  <si>
    <r>
      <t>con Indice di edificabilità fondiaria (IF) &lt; 1,5 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/m</t>
    </r>
    <r>
      <rPr>
        <vertAlign val="superscript"/>
        <sz val="11"/>
        <rFont val="Calibri"/>
        <family val="2"/>
        <scheme val="minor"/>
      </rPr>
      <t>2</t>
    </r>
  </si>
  <si>
    <r>
      <t>con Indice di edificabilità fondiaria (IF) &gt;= 3 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/m</t>
    </r>
    <r>
      <rPr>
        <vertAlign val="superscript"/>
        <sz val="11"/>
        <rFont val="Calibri"/>
        <family val="2"/>
        <scheme val="minor"/>
      </rPr>
      <t>2</t>
    </r>
  </si>
  <si>
    <t>Indicare i m3</t>
  </si>
  <si>
    <t>iIndicare i m2</t>
  </si>
  <si>
    <t>Indicare i m2</t>
  </si>
  <si>
    <t>indicare i m2</t>
  </si>
  <si>
    <t>Tabella per il calcolo degli oneri di urbanizzazione</t>
  </si>
  <si>
    <t>Modificare solo le celle in grigio!!</t>
  </si>
  <si>
    <t>Nella casella corrispondente alla categoria funzionale dell'immobile e al tipo di intervento da attuare, riportare il valori (in metri quadrati o in metri cubi come indicato); la tabella calcolerà automaticamente l'importo degli oneri di urbanizzazione primaria e secondaria. E' possibile riportare più di un valore (ad esempio in casi di destinazioni miste).</t>
  </si>
  <si>
    <t>Totale oneri di urbanizzazione primaria</t>
  </si>
  <si>
    <t>Totale oneri di urbanizzazione secondaria</t>
  </si>
  <si>
    <t>Totale oneri verdi</t>
  </si>
  <si>
    <t>Tabella riepilogativa degli importi dovuti</t>
  </si>
  <si>
    <r>
      <rPr>
        <b/>
        <sz val="10"/>
        <rFont val="Arial"/>
        <family val="2"/>
      </rPr>
      <t>ISTRUZIONI PER LA COMPILAZIONE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DEL PROSPETTO DEL COSTO DI COSTRUZIONE</t>
    </r>
    <r>
      <rPr>
        <sz val="9"/>
        <rFont val="Arial"/>
        <family val="2"/>
      </rPr>
      <t xml:space="preserve">
</t>
    </r>
    <r>
      <rPr>
        <b/>
        <sz val="9"/>
        <rFont val="Arial"/>
        <family val="2"/>
      </rPr>
      <t>Tabella 1</t>
    </r>
    <r>
      <rPr>
        <sz val="9"/>
        <rFont val="Arial"/>
        <family val="2"/>
      </rPr>
      <t xml:space="preserve">:
Inserire i dati delle unità immobiliari nelle caselle marcate in grigio. sulla base dei valori inseriti vengono calcolati automaticamente i valori in verde.
In caso di ristrutturazione inserire i dati delle intere unità immobiliari oggetto di intervento e nel foglio "contributo costo cost." specificare nell'apposita casella la percentuale del 60% riferito alla ristrutturazione.
In caso di ampliamento il calcolo deve essere fatto due volte con i valori dell’unità immobiliare ante e post intervento utilizzando in entrambi i casi la percentuale del 100% riferita alla nuova costruzione (utilizzare per questo due file diversi). il contributo da pagare sarà la differenza tra i valori post e ante intervento.
</t>
    </r>
    <r>
      <rPr>
        <b/>
        <sz val="9"/>
        <rFont val="Arial"/>
        <family val="2"/>
      </rPr>
      <t>Tabella 2</t>
    </r>
    <r>
      <rPr>
        <sz val="9"/>
        <rFont val="Arial"/>
        <family val="2"/>
      </rPr>
      <t xml:space="preserve">:
Inserire le superfici (per intero, applica automaticamente la riduzione al 60%) riguardanti le singole voci e riferite a tutte le unità immobiliari interessate dall’intervento.
</t>
    </r>
    <r>
      <rPr>
        <b/>
        <sz val="9"/>
        <rFont val="Arial"/>
        <family val="2"/>
      </rPr>
      <t>Tabella 3</t>
    </r>
    <r>
      <rPr>
        <sz val="9"/>
        <rFont val="Arial"/>
        <family val="2"/>
      </rPr>
      <t xml:space="preserve">:
La tabella viene compilata automaticamente.
</t>
    </r>
    <r>
      <rPr>
        <b/>
        <sz val="9"/>
        <rFont val="Arial"/>
        <family val="2"/>
      </rPr>
      <t>Tabella 4</t>
    </r>
    <r>
      <rPr>
        <sz val="9"/>
        <rFont val="Arial"/>
        <family val="2"/>
      </rPr>
      <t>: 
Apporre una x nella casella che interessa in base al numero delle seguenti caratteristiche particolari presenti nell'immobile.
- più di un ascensore per ogni scala se questa serve meno di sei piani sopraelevati;
- scala di servizio non prescritta da leggi o regolamenti o imposta da necessità di prevenzione di infortuni o di incendi;
- altezza libera netta di piano superiore a m 2,70. Per ambienti con altezze diverse si fa riferimento all'altezza media ponderale;
- piscina coperta o scoperta quando sia a servizio di uno o più edifici comprendenti meno di 15 unità immobiliari:
- alloggi di custodia a servizio di uno o più edifici comprendenti meno di 15 unità immobiliari.
PER EVENTUALI CHIARIMENTI È POSSIBILE SCRIVERE A edilizia@comune.lastra-a-signa.fi.it</t>
    </r>
  </si>
  <si>
    <t>Luogo</t>
  </si>
  <si>
    <t>Data</t>
  </si>
  <si>
    <t>Oneri di urbanizzazione primaria (I)</t>
  </si>
  <si>
    <t>Oneri di urbanizzazione secondaria (II)</t>
  </si>
  <si>
    <t>Modalità di pagamento:</t>
  </si>
  <si>
    <r>
      <t xml:space="preserve">1. Tramite </t>
    </r>
    <r>
      <rPr>
        <b/>
        <sz val="10"/>
        <rFont val="Arial"/>
        <family val="2"/>
      </rPr>
      <t>PagoPA</t>
    </r>
    <r>
      <rPr>
        <sz val="10"/>
        <rFont val="Arial"/>
        <family val="2"/>
      </rPr>
      <t xml:space="preserve"> online collegandosi al seguente link https://lastraasigna.comune.plugandpay.it/ selezionando la voce </t>
    </r>
    <r>
      <rPr>
        <b/>
        <sz val="10"/>
        <rFont val="Arial"/>
        <family val="2"/>
      </rPr>
      <t>“Pagamento spontaneo”</t>
    </r>
    <r>
      <rPr>
        <sz val="10"/>
        <rFont val="Arial"/>
        <family val="2"/>
      </rPr>
      <t xml:space="preserve"> (nel caso di importi determinati dal professionista come per le SCIA) e la causale di interesse differenziando Oneri di urbanizzazione primaria, Oneri di urbanizzazione secondaria, Contributo sul costo di costruzione</t>
    </r>
  </si>
  <si>
    <r>
      <t xml:space="preserve">2. Tramite </t>
    </r>
    <r>
      <rPr>
        <b/>
        <sz val="10"/>
        <rFont val="Arial"/>
        <family val="2"/>
      </rPr>
      <t>PagoPA</t>
    </r>
    <r>
      <rPr>
        <sz val="10"/>
        <rFont val="Arial"/>
        <family val="2"/>
      </rPr>
      <t xml:space="preserve"> online collegandosi al seguente link https://lastraasigna.comune.plugandpay.it/ selezionando la voce “</t>
    </r>
    <r>
      <rPr>
        <b/>
        <sz val="10"/>
        <rFont val="Arial"/>
        <family val="2"/>
      </rPr>
      <t>Avviso da pagare predeterminato</t>
    </r>
    <r>
      <rPr>
        <sz val="10"/>
        <rFont val="Arial"/>
        <family val="2"/>
      </rPr>
      <t xml:space="preserve">” (nel caso di importi determinati dallo Sportello Unico Edilizia-SUE come per il Permesso di costruire) e indicando lo </t>
    </r>
    <r>
      <rPr>
        <b/>
        <sz val="10"/>
        <rFont val="Arial"/>
        <family val="2"/>
      </rPr>
      <t>IUV</t>
    </r>
    <r>
      <rPr>
        <sz val="10"/>
        <rFont val="Arial"/>
        <family val="2"/>
      </rPr>
      <t xml:space="preserve"> (identificativo unico di versamento) fornito dall’ufficio</t>
    </r>
  </si>
  <si>
    <r>
      <t xml:space="preserve">3. Tramite </t>
    </r>
    <r>
      <rPr>
        <b/>
        <sz val="10"/>
        <rFont val="Arial"/>
        <family val="2"/>
      </rPr>
      <t>PagoPA</t>
    </r>
    <r>
      <rPr>
        <sz val="10"/>
        <rFont val="Arial"/>
        <family val="2"/>
      </rPr>
      <t xml:space="preserve"> se già provvisti dello </t>
    </r>
    <r>
      <rPr>
        <b/>
        <sz val="10"/>
        <rFont val="Arial"/>
        <family val="2"/>
      </rPr>
      <t>IUV</t>
    </r>
    <r>
      <rPr>
        <sz val="10"/>
        <rFont val="Arial"/>
        <family val="2"/>
      </rPr>
      <t xml:space="preserve"> (fornito dall’ufficio o dal professionista che abbia creato la posizione debitoria su https://lastraasigna.comune.plugandpay.it/) presso tutti i prestatori di servizi di pagamento aderenti al circuito PagoPa quali ad esempio </t>
    </r>
    <r>
      <rPr>
        <b/>
        <sz val="10"/>
        <rFont val="Arial"/>
        <family val="2"/>
      </rPr>
      <t>uffici postali, tabaccherie, banche, sportelli automatici abilitati, SUE del Comune</t>
    </r>
    <r>
      <rPr>
        <sz val="10"/>
        <rFont val="Arial"/>
        <family val="2"/>
      </rPr>
      <t xml:space="preserve"> (solo con carte elettroniche dei circuiti Bancomat, VISA, Mastercard) etc. oltre che con la App IO o altre App per smartphone aderenti a PagoPA</t>
    </r>
  </si>
  <si>
    <r>
      <t xml:space="preserve">2 - Contr. sul costo di costruzione </t>
    </r>
    <r>
      <rPr>
        <sz val="10"/>
        <rFont val="Arial"/>
        <family val="2"/>
      </rPr>
      <t>(Cc)</t>
    </r>
  </si>
  <si>
    <t>Oneri verdi I</t>
  </si>
  <si>
    <t>Oneri verdi II</t>
  </si>
  <si>
    <t>Oneri verdi per deruralizzazione I</t>
  </si>
  <si>
    <t>Oneri verdi per deruralizzazione II</t>
  </si>
  <si>
    <t>Oneri di urbanizzazione primaria I</t>
  </si>
  <si>
    <t>Oneri di urbanizzazione secondaria II</t>
  </si>
  <si>
    <t>Clicca qui per pagare online</t>
  </si>
  <si>
    <t>Interventi di restauro e ristrutturazione edilizia</t>
  </si>
  <si>
    <t>Cambi di destinazione senza opere edilizie</t>
  </si>
  <si>
    <t>Interventi di ristrutturazione urbanistica</t>
  </si>
  <si>
    <t>Interventi di deruralizzazione</t>
  </si>
  <si>
    <t>Interventi di deruralizzazione nei casi di cui all'art. 2 c. 6 della lr 3/2017 (Immobili in abbandono)</t>
  </si>
  <si>
    <t>Determinazione del contributo per classi di quartieri</t>
  </si>
  <si>
    <t>Percentuale da applicare in base al tipo di intervento (100% nuova cost. 60% ristrutt.)</t>
  </si>
  <si>
    <t>Tabella riepilogativa oneri di urbanizzazione anno 2025</t>
  </si>
  <si>
    <t>con i.f. &lt; 1,5 m3/m2 e in caso di</t>
  </si>
  <si>
    <t xml:space="preserve">tra 1,5 e 3 m3/m2 </t>
  </si>
  <si>
    <t>a 3 m3/m2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</si>
</sst>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-* #,##0.00_-;\-* #,##0.00_-;_-* &quot;-&quot;??_-;_-@_-"/>
    <numFmt numFmtId="164" formatCode="&quot;L/mq&quot;* #,##0"/>
    <numFmt numFmtId="165" formatCode="&quot;L.&quot;* #,##0"/>
    <numFmt numFmtId="166" formatCode="\ #,##0.00"/>
    <numFmt numFmtId="167" formatCode="&quot;€&quot;* #,##0.00"/>
    <numFmt numFmtId="168" formatCode="&quot;€/mq&quot;* #,##0.00"/>
    <numFmt numFmtId="169" formatCode="[$€-2]\ #,##0.00"/>
    <numFmt numFmtId="170" formatCode="&quot;€&quot;\ #,##0.00;[Red]&quot;€&quot;\ #,##0.00"/>
    <numFmt numFmtId="171" formatCode="&quot;€&quot;\ #,##0.00"/>
    <numFmt numFmtId="172" formatCode="d\ mmmm\ yyyy"/>
    <numFmt numFmtId="173" formatCode="&quot;L.&quot;\ #,##0"/>
    <numFmt numFmtId="174" formatCode="_-[$€]\ * #,##0.00_-;\-[$€]\ * #,##0.00_-;_-[$€]\ * &quot;-&quot;??_-;_-@_-"/>
    <numFmt numFmtId="175" formatCode="#,##0.00\ &quot;€&quot;"/>
    <numFmt numFmtId="176" formatCode="_-* #,##0.00\ [$€-410]_-;\-* #,##0.00\ [$€-410]_-;_-* &quot;-&quot;??\ [$€-410]_-;_-@_-"/>
  </numFmts>
  <fonts count="49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11"/>
      <color indexed="10"/>
      <name val="Arial"/>
      <family val="2"/>
    </font>
    <font>
      <sz val="10"/>
      <color indexed="10"/>
      <name val="Arial"/>
      <family val="2"/>
    </font>
    <font>
      <b/>
      <sz val="11"/>
      <color indexed="17"/>
      <name val="Arial"/>
      <family val="2"/>
    </font>
    <font>
      <b/>
      <sz val="12"/>
      <color indexed="17"/>
      <name val="Arial"/>
      <family val="2"/>
    </font>
    <font>
      <b/>
      <sz val="12"/>
      <color indexed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8"/>
      <color indexed="81"/>
      <name val="Tahoma"/>
      <family val="2"/>
    </font>
    <font>
      <sz val="10"/>
      <color indexed="17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name val="Arial"/>
      <family val="2"/>
    </font>
    <font>
      <sz val="11"/>
      <color indexed="9"/>
      <name val="Arial"/>
      <family val="2"/>
    </font>
    <font>
      <sz val="10"/>
      <color indexed="9"/>
      <name val="Arial"/>
      <family val="2"/>
    </font>
    <font>
      <sz val="12"/>
      <color indexed="9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indexed="23"/>
      <name val="Arial"/>
      <family val="2"/>
    </font>
    <font>
      <sz val="10"/>
      <color indexed="23"/>
      <name val="Arial"/>
      <family val="2"/>
    </font>
    <font>
      <b/>
      <sz val="10"/>
      <color indexed="23"/>
      <name val="Arial"/>
      <family val="2"/>
    </font>
    <font>
      <sz val="10"/>
      <color indexed="63"/>
      <name val="Arial"/>
      <family val="2"/>
    </font>
    <font>
      <sz val="10"/>
      <color theme="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22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6" fillId="0" borderId="0" applyNumberFormat="0" applyFill="0" applyBorder="0" applyAlignment="0" applyProtection="0">
      <alignment vertical="top"/>
      <protection locked="0"/>
    </xf>
    <xf numFmtId="174" fontId="1" fillId="0" borderId="0" applyFont="0" applyFill="0" applyBorder="0" applyAlignment="0" applyProtection="0"/>
  </cellStyleXfs>
  <cellXfs count="450">
    <xf numFmtId="0" fontId="0" fillId="0" borderId="0" xfId="0"/>
    <xf numFmtId="0" fontId="2" fillId="0" borderId="0" xfId="0" applyFont="1"/>
    <xf numFmtId="0" fontId="4" fillId="0" borderId="1" xfId="0" applyFont="1" applyBorder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7" fillId="0" borderId="0" xfId="0" applyFont="1"/>
    <xf numFmtId="165" fontId="6" fillId="0" borderId="0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2" fontId="15" fillId="0" borderId="1" xfId="0" applyNumberFormat="1" applyFont="1" applyBorder="1" applyAlignment="1">
      <alignment horizontal="center" vertical="center"/>
    </xf>
    <xf numFmtId="2" fontId="16" fillId="0" borderId="4" xfId="0" applyNumberFormat="1" applyFont="1" applyBorder="1" applyAlignment="1">
      <alignment horizontal="center" vertical="center"/>
    </xf>
    <xf numFmtId="164" fontId="17" fillId="0" borderId="0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2" fontId="16" fillId="0" borderId="0" xfId="0" applyNumberFormat="1" applyFont="1" applyBorder="1" applyAlignment="1">
      <alignment horizontal="center" vertical="center"/>
    </xf>
    <xf numFmtId="0" fontId="10" fillId="0" borderId="0" xfId="0" applyFont="1" applyFill="1" applyAlignment="1">
      <alignment horizontal="center" wrapText="1"/>
    </xf>
    <xf numFmtId="166" fontId="21" fillId="0" borderId="1" xfId="0" applyNumberFormat="1" applyFont="1" applyBorder="1" applyAlignment="1">
      <alignment horizontal="center" vertical="center" wrapText="1"/>
    </xf>
    <xf numFmtId="168" fontId="17" fillId="0" borderId="0" xfId="0" applyNumberFormat="1" applyFont="1" applyBorder="1" applyAlignment="1">
      <alignment horizontal="center"/>
    </xf>
    <xf numFmtId="0" fontId="0" fillId="0" borderId="0" xfId="0" applyBorder="1" applyAlignment="1">
      <alignment vertical="top"/>
    </xf>
    <xf numFmtId="0" fontId="23" fillId="0" borderId="1" xfId="0" applyFont="1" applyBorder="1" applyAlignment="1">
      <alignment horizontal="center" vertical="center" wrapText="1"/>
    </xf>
    <xf numFmtId="0" fontId="23" fillId="0" borderId="0" xfId="0" applyFont="1"/>
    <xf numFmtId="9" fontId="23" fillId="0" borderId="1" xfId="0" applyNumberFormat="1" applyFont="1" applyBorder="1" applyAlignment="1">
      <alignment horizontal="center" vertical="center"/>
    </xf>
    <xf numFmtId="0" fontId="23" fillId="0" borderId="0" xfId="0" applyFont="1" applyBorder="1"/>
    <xf numFmtId="0" fontId="23" fillId="0" borderId="0" xfId="0" applyFont="1" applyBorder="1" applyAlignment="1"/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/>
    <xf numFmtId="0" fontId="23" fillId="0" borderId="8" xfId="0" applyFont="1" applyBorder="1"/>
    <xf numFmtId="0" fontId="23" fillId="0" borderId="9" xfId="0" applyFont="1" applyBorder="1"/>
    <xf numFmtId="0" fontId="23" fillId="0" borderId="1" xfId="0" applyFont="1" applyBorder="1"/>
    <xf numFmtId="0" fontId="23" fillId="0" borderId="10" xfId="0" applyFont="1" applyBorder="1"/>
    <xf numFmtId="9" fontId="2" fillId="0" borderId="6" xfId="0" applyNumberFormat="1" applyFont="1" applyBorder="1"/>
    <xf numFmtId="0" fontId="23" fillId="0" borderId="11" xfId="0" applyFont="1" applyBorder="1"/>
    <xf numFmtId="9" fontId="2" fillId="0" borderId="12" xfId="0" applyNumberFormat="1" applyFont="1" applyBorder="1"/>
    <xf numFmtId="0" fontId="23" fillId="0" borderId="13" xfId="0" applyFont="1" applyBorder="1"/>
    <xf numFmtId="0" fontId="23" fillId="0" borderId="14" xfId="0" applyFont="1" applyBorder="1"/>
    <xf numFmtId="0" fontId="23" fillId="0" borderId="15" xfId="0" applyFont="1" applyBorder="1"/>
    <xf numFmtId="0" fontId="23" fillId="0" borderId="15" xfId="0" applyFont="1" applyBorder="1" applyAlignment="1">
      <alignment horizontal="center"/>
    </xf>
    <xf numFmtId="0" fontId="23" fillId="0" borderId="9" xfId="0" applyFont="1" applyBorder="1" applyAlignment="1">
      <alignment vertical="top" wrapText="1"/>
    </xf>
    <xf numFmtId="0" fontId="0" fillId="0" borderId="9" xfId="0" applyBorder="1" applyAlignment="1">
      <alignment vertical="top"/>
    </xf>
    <xf numFmtId="0" fontId="26" fillId="0" borderId="9" xfId="1" applyBorder="1" applyAlignment="1" applyProtection="1">
      <alignment wrapText="1"/>
    </xf>
    <xf numFmtId="0" fontId="23" fillId="0" borderId="9" xfId="0" applyFont="1" applyBorder="1" applyAlignment="1">
      <alignment horizontal="right"/>
    </xf>
    <xf numFmtId="169" fontId="23" fillId="0" borderId="1" xfId="0" applyNumberFormat="1" applyFont="1" applyBorder="1" applyAlignment="1">
      <alignment horizontal="center" vertical="center"/>
    </xf>
    <xf numFmtId="169" fontId="23" fillId="0" borderId="6" xfId="0" applyNumberFormat="1" applyFont="1" applyBorder="1" applyAlignment="1">
      <alignment horizontal="center" vertical="center"/>
    </xf>
    <xf numFmtId="2" fontId="23" fillId="0" borderId="1" xfId="0" applyNumberFormat="1" applyFont="1" applyBorder="1" applyAlignment="1">
      <alignment horizontal="center" vertical="center"/>
    </xf>
    <xf numFmtId="167" fontId="2" fillId="0" borderId="0" xfId="0" applyNumberFormat="1" applyFont="1"/>
    <xf numFmtId="167" fontId="16" fillId="0" borderId="0" xfId="0" applyNumberFormat="1" applyFont="1" applyBorder="1" applyAlignment="1">
      <alignment horizontal="center"/>
    </xf>
    <xf numFmtId="2" fontId="15" fillId="0" borderId="18" xfId="0" applyNumberFormat="1" applyFont="1" applyBorder="1"/>
    <xf numFmtId="2" fontId="15" fillId="0" borderId="1" xfId="0" applyNumberFormat="1" applyFont="1" applyBorder="1" applyAlignment="1">
      <alignment horizontal="center"/>
    </xf>
    <xf numFmtId="2" fontId="15" fillId="0" borderId="1" xfId="0" applyNumberFormat="1" applyFont="1" applyBorder="1" applyAlignment="1">
      <alignment horizontal="center" vertical="center" wrapText="1"/>
    </xf>
    <xf numFmtId="168" fontId="8" fillId="0" borderId="0" xfId="0" applyNumberFormat="1" applyFont="1" applyBorder="1" applyAlignment="1">
      <alignment horizontal="center"/>
    </xf>
    <xf numFmtId="167" fontId="8" fillId="0" borderId="19" xfId="0" applyNumberFormat="1" applyFont="1" applyBorder="1" applyAlignment="1">
      <alignment horizontal="center"/>
    </xf>
    <xf numFmtId="0" fontId="8" fillId="0" borderId="20" xfId="0" applyFont="1" applyBorder="1" applyAlignment="1"/>
    <xf numFmtId="0" fontId="0" fillId="0" borderId="21" xfId="0" applyBorder="1" applyAlignment="1"/>
    <xf numFmtId="1" fontId="2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30" fillId="0" borderId="0" xfId="0" applyFont="1" applyFill="1"/>
    <xf numFmtId="0" fontId="3" fillId="0" borderId="1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43" fontId="2" fillId="0" borderId="1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166" fontId="15" fillId="0" borderId="0" xfId="0" applyNumberFormat="1" applyFont="1" applyAlignment="1">
      <alignment horizontal="left"/>
    </xf>
    <xf numFmtId="0" fontId="31" fillId="0" borderId="0" xfId="0" applyFont="1" applyBorder="1"/>
    <xf numFmtId="2" fontId="31" fillId="0" borderId="0" xfId="0" applyNumberFormat="1" applyFont="1" applyBorder="1"/>
    <xf numFmtId="0" fontId="31" fillId="0" borderId="0" xfId="0" applyFont="1" applyFill="1" applyBorder="1"/>
    <xf numFmtId="0" fontId="32" fillId="0" borderId="0" xfId="0" applyFont="1" applyFill="1" applyBorder="1" applyAlignment="1"/>
    <xf numFmtId="0" fontId="32" fillId="0" borderId="0" xfId="0" applyFont="1" applyFill="1" applyBorder="1" applyAlignment="1">
      <alignment horizontal="center"/>
    </xf>
    <xf numFmtId="0" fontId="30" fillId="0" borderId="0" xfId="0" applyFont="1" applyFill="1" applyBorder="1" applyAlignment="1"/>
    <xf numFmtId="0" fontId="30" fillId="0" borderId="0" xfId="0" applyFont="1" applyFill="1" applyBorder="1"/>
    <xf numFmtId="168" fontId="16" fillId="0" borderId="0" xfId="0" applyNumberFormat="1" applyFont="1" applyBorder="1" applyAlignment="1">
      <alignment horizontal="center"/>
    </xf>
    <xf numFmtId="0" fontId="23" fillId="0" borderId="1" xfId="0" applyFont="1" applyBorder="1" applyAlignment="1">
      <alignment horizontal="right"/>
    </xf>
    <xf numFmtId="0" fontId="23" fillId="0" borderId="1" xfId="0" applyFont="1" applyFill="1" applyBorder="1" applyAlignment="1">
      <alignment horizontal="right" wrapText="1"/>
    </xf>
    <xf numFmtId="0" fontId="23" fillId="0" borderId="1" xfId="0" applyFont="1" applyBorder="1" applyAlignment="1">
      <alignment horizontal="right" vertical="center"/>
    </xf>
    <xf numFmtId="0" fontId="23" fillId="0" borderId="10" xfId="0" applyFont="1" applyBorder="1" applyAlignment="1">
      <alignment vertical="top"/>
    </xf>
    <xf numFmtId="169" fontId="7" fillId="0" borderId="1" xfId="0" applyNumberFormat="1" applyFont="1" applyBorder="1" applyAlignment="1">
      <alignment vertical="center"/>
    </xf>
    <xf numFmtId="169" fontId="7" fillId="0" borderId="6" xfId="0" applyNumberFormat="1" applyFont="1" applyBorder="1"/>
    <xf numFmtId="170" fontId="8" fillId="0" borderId="12" xfId="0" applyNumberFormat="1" applyFont="1" applyBorder="1" applyAlignment="1">
      <alignment vertical="center"/>
    </xf>
    <xf numFmtId="0" fontId="23" fillId="0" borderId="22" xfId="0" applyFont="1" applyBorder="1"/>
    <xf numFmtId="171" fontId="23" fillId="0" borderId="15" xfId="0" applyNumberFormat="1" applyFont="1" applyBorder="1"/>
    <xf numFmtId="9" fontId="23" fillId="0" borderId="15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3" fillId="2" borderId="2" xfId="0" applyFont="1" applyFill="1" applyBorder="1" applyAlignment="1" applyProtection="1">
      <alignment horizontal="center"/>
      <protection locked="0"/>
    </xf>
    <xf numFmtId="2" fontId="14" fillId="2" borderId="1" xfId="0" applyNumberFormat="1" applyFont="1" applyFill="1" applyBorder="1" applyAlignment="1" applyProtection="1">
      <alignment horizontal="center" vertical="center"/>
      <protection locked="0"/>
    </xf>
    <xf numFmtId="2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9" fontId="17" fillId="2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33" fillId="0" borderId="0" xfId="0" applyFont="1" applyBorder="1"/>
    <xf numFmtId="0" fontId="2" fillId="0" borderId="23" xfId="0" applyFont="1" applyBorder="1"/>
    <xf numFmtId="0" fontId="0" fillId="0" borderId="24" xfId="0" applyBorder="1"/>
    <xf numFmtId="0" fontId="0" fillId="0" borderId="25" xfId="0" applyBorder="1" applyAlignment="1">
      <alignment vertical="top"/>
    </xf>
    <xf numFmtId="0" fontId="22" fillId="0" borderId="25" xfId="0" applyFont="1" applyBorder="1" applyAlignment="1">
      <alignment vertical="top"/>
    </xf>
    <xf numFmtId="0" fontId="0" fillId="0" borderId="26" xfId="0" applyBorder="1" applyAlignment="1">
      <alignment vertical="top"/>
    </xf>
    <xf numFmtId="0" fontId="2" fillId="0" borderId="27" xfId="0" applyFont="1" applyFill="1" applyBorder="1"/>
    <xf numFmtId="0" fontId="0" fillId="0" borderId="1" xfId="0" applyBorder="1"/>
    <xf numFmtId="0" fontId="0" fillId="0" borderId="18" xfId="0" applyBorder="1" applyAlignment="1">
      <alignment vertical="top"/>
    </xf>
    <xf numFmtId="0" fontId="22" fillId="0" borderId="18" xfId="0" applyFont="1" applyBorder="1" applyAlignment="1">
      <alignment vertical="top"/>
    </xf>
    <xf numFmtId="0" fontId="0" fillId="0" borderId="28" xfId="0" applyBorder="1" applyAlignment="1">
      <alignment vertical="top"/>
    </xf>
    <xf numFmtId="0" fontId="2" fillId="0" borderId="29" xfId="0" applyFont="1" applyBorder="1"/>
    <xf numFmtId="0" fontId="2" fillId="0" borderId="15" xfId="0" applyFont="1" applyBorder="1" applyAlignment="1">
      <alignment horizontal="right"/>
    </xf>
    <xf numFmtId="0" fontId="0" fillId="2" borderId="30" xfId="0" applyFill="1" applyBorder="1" applyAlignment="1">
      <alignment vertical="top"/>
    </xf>
    <xf numFmtId="0" fontId="22" fillId="2" borderId="30" xfId="0" applyFont="1" applyFill="1" applyBorder="1" applyAlignment="1">
      <alignment vertical="top"/>
    </xf>
    <xf numFmtId="0" fontId="22" fillId="2" borderId="31" xfId="0" applyFont="1" applyFill="1" applyBorder="1" applyAlignment="1">
      <alignment vertical="top"/>
    </xf>
    <xf numFmtId="0" fontId="2" fillId="0" borderId="32" xfId="0" applyFont="1" applyFill="1" applyBorder="1"/>
    <xf numFmtId="0" fontId="2" fillId="0" borderId="33" xfId="0" applyFont="1" applyBorder="1" applyAlignment="1">
      <alignment horizontal="right"/>
    </xf>
    <xf numFmtId="0" fontId="0" fillId="2" borderId="34" xfId="0" applyFill="1" applyBorder="1" applyAlignment="1">
      <alignment vertical="top"/>
    </xf>
    <xf numFmtId="0" fontId="22" fillId="0" borderId="0" xfId="0" applyFont="1" applyBorder="1" applyAlignment="1">
      <alignment vertical="top"/>
    </xf>
    <xf numFmtId="0" fontId="2" fillId="0" borderId="0" xfId="0" applyFont="1" applyBorder="1" applyAlignment="1">
      <alignment horizontal="right"/>
    </xf>
    <xf numFmtId="0" fontId="2" fillId="0" borderId="4" xfId="0" applyFont="1" applyBorder="1"/>
    <xf numFmtId="0" fontId="10" fillId="0" borderId="0" xfId="0" applyFont="1" applyBorder="1"/>
    <xf numFmtId="0" fontId="35" fillId="2" borderId="4" xfId="0" applyFont="1" applyFill="1" applyBorder="1" applyAlignment="1">
      <alignment horizontal="center" vertical="center" wrapText="1"/>
    </xf>
    <xf numFmtId="0" fontId="0" fillId="0" borderId="23" xfId="0" applyBorder="1"/>
    <xf numFmtId="0" fontId="0" fillId="0" borderId="37" xfId="0" applyBorder="1"/>
    <xf numFmtId="0" fontId="0" fillId="0" borderId="38" xfId="0" applyBorder="1"/>
    <xf numFmtId="0" fontId="0" fillId="0" borderId="39" xfId="0" applyFill="1" applyBorder="1"/>
    <xf numFmtId="0" fontId="0" fillId="0" borderId="40" xfId="0" applyBorder="1"/>
    <xf numFmtId="0" fontId="0" fillId="0" borderId="0" xfId="0" applyBorder="1" applyAlignment="1">
      <alignment horizontal="right"/>
    </xf>
    <xf numFmtId="37" fontId="5" fillId="0" borderId="0" xfId="0" applyNumberFormat="1" applyFont="1" applyBorder="1" applyAlignment="1">
      <alignment horizontal="left"/>
    </xf>
    <xf numFmtId="0" fontId="0" fillId="0" borderId="11" xfId="0" applyBorder="1"/>
    <xf numFmtId="169" fontId="0" fillId="2" borderId="17" xfId="0" applyNumberFormat="1" applyFill="1" applyBorder="1"/>
    <xf numFmtId="0" fontId="0" fillId="0" borderId="15" xfId="0" applyBorder="1"/>
    <xf numFmtId="0" fontId="0" fillId="0" borderId="42" xfId="0" applyBorder="1"/>
    <xf numFmtId="0" fontId="0" fillId="0" borderId="2" xfId="0" applyBorder="1"/>
    <xf numFmtId="169" fontId="0" fillId="0" borderId="18" xfId="0" applyNumberFormat="1" applyBorder="1"/>
    <xf numFmtId="0" fontId="0" fillId="0" borderId="13" xfId="0" applyBorder="1"/>
    <xf numFmtId="0" fontId="0" fillId="0" borderId="43" xfId="0" applyBorder="1"/>
    <xf numFmtId="0" fontId="0" fillId="0" borderId="44" xfId="0" applyBorder="1"/>
    <xf numFmtId="0" fontId="0" fillId="0" borderId="8" xfId="0" applyBorder="1"/>
    <xf numFmtId="0" fontId="0" fillId="0" borderId="9" xfId="0" applyBorder="1"/>
    <xf numFmtId="0" fontId="0" fillId="0" borderId="14" xfId="0" applyBorder="1"/>
    <xf numFmtId="0" fontId="0" fillId="0" borderId="46" xfId="0" applyBorder="1"/>
    <xf numFmtId="0" fontId="7" fillId="0" borderId="7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169" fontId="7" fillId="0" borderId="0" xfId="0" applyNumberFormat="1" applyFont="1" applyBorder="1" applyAlignment="1">
      <alignment horizontal="center" vertical="center"/>
    </xf>
    <xf numFmtId="169" fontId="7" fillId="0" borderId="13" xfId="0" applyNumberFormat="1" applyFont="1" applyBorder="1" applyAlignment="1">
      <alignment horizontal="center" vertical="center"/>
    </xf>
    <xf numFmtId="169" fontId="23" fillId="0" borderId="5" xfId="0" applyNumberFormat="1" applyFont="1" applyBorder="1" applyAlignment="1">
      <alignment vertical="center"/>
    </xf>
    <xf numFmtId="169" fontId="23" fillId="0" borderId="28" xfId="0" applyNumberFormat="1" applyFont="1" applyBorder="1" applyAlignment="1">
      <alignment vertical="center"/>
    </xf>
    <xf numFmtId="169" fontId="7" fillId="0" borderId="5" xfId="0" applyNumberFormat="1" applyFont="1" applyBorder="1" applyAlignment="1">
      <alignment vertical="center"/>
    </xf>
    <xf numFmtId="169" fontId="7" fillId="0" borderId="28" xfId="0" applyNumberFormat="1" applyFont="1" applyBorder="1" applyAlignment="1">
      <alignment vertical="center"/>
    </xf>
    <xf numFmtId="169" fontId="8" fillId="0" borderId="47" xfId="0" applyNumberFormat="1" applyFont="1" applyBorder="1" applyAlignment="1">
      <alignment vertical="center"/>
    </xf>
    <xf numFmtId="169" fontId="8" fillId="0" borderId="31" xfId="0" applyNumberFormat="1" applyFont="1" applyBorder="1" applyAlignment="1">
      <alignment vertical="center"/>
    </xf>
    <xf numFmtId="169" fontId="0" fillId="0" borderId="22" xfId="0" applyNumberFormat="1" applyFill="1" applyBorder="1"/>
    <xf numFmtId="169" fontId="0" fillId="0" borderId="12" xfId="0" applyNumberFormat="1" applyFill="1" applyBorder="1"/>
    <xf numFmtId="172" fontId="0" fillId="3" borderId="34" xfId="0" applyNumberFormat="1" applyFill="1" applyBorder="1" applyProtection="1">
      <protection locked="0"/>
    </xf>
    <xf numFmtId="0" fontId="0" fillId="0" borderId="0" xfId="0" applyFill="1" applyBorder="1"/>
    <xf numFmtId="172" fontId="0" fillId="0" borderId="0" xfId="0" applyNumberFormat="1" applyFill="1" applyBorder="1"/>
    <xf numFmtId="0" fontId="8" fillId="2" borderId="1" xfId="0" applyFont="1" applyFill="1" applyBorder="1" applyAlignment="1" applyProtection="1">
      <alignment horizontal="center" vertical="center"/>
      <protection locked="0"/>
    </xf>
    <xf numFmtId="169" fontId="34" fillId="2" borderId="4" xfId="0" applyNumberFormat="1" applyFont="1" applyFill="1" applyBorder="1" applyAlignment="1">
      <alignment horizontal="center"/>
    </xf>
    <xf numFmtId="0" fontId="0" fillId="0" borderId="49" xfId="0" applyBorder="1"/>
    <xf numFmtId="0" fontId="0" fillId="0" borderId="25" xfId="0" applyBorder="1"/>
    <xf numFmtId="0" fontId="0" fillId="0" borderId="30" xfId="0" applyBorder="1"/>
    <xf numFmtId="0" fontId="36" fillId="0" borderId="30" xfId="0" applyFont="1" applyBorder="1"/>
    <xf numFmtId="0" fontId="6" fillId="2" borderId="23" xfId="0" applyFont="1" applyFill="1" applyBorder="1"/>
    <xf numFmtId="0" fontId="6" fillId="2" borderId="49" xfId="0" applyFont="1" applyFill="1" applyBorder="1"/>
    <xf numFmtId="0" fontId="6" fillId="2" borderId="37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37" fillId="0" borderId="15" xfId="0" applyFon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0" borderId="50" xfId="0" applyBorder="1" applyAlignment="1">
      <alignment wrapText="1"/>
    </xf>
    <xf numFmtId="169" fontId="0" fillId="0" borderId="51" xfId="0" applyNumberFormat="1" applyBorder="1" applyAlignment="1">
      <alignment horizontal="center"/>
    </xf>
    <xf numFmtId="0" fontId="0" fillId="0" borderId="52" xfId="0" applyBorder="1"/>
    <xf numFmtId="173" fontId="0" fillId="0" borderId="15" xfId="0" applyNumberFormat="1" applyBorder="1" applyAlignment="1">
      <alignment horizontal="center"/>
    </xf>
    <xf numFmtId="0" fontId="38" fillId="0" borderId="24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173" fontId="39" fillId="0" borderId="24" xfId="0" applyNumberFormat="1" applyFont="1" applyBorder="1" applyAlignment="1">
      <alignment horizontal="center"/>
    </xf>
    <xf numFmtId="173" fontId="39" fillId="0" borderId="1" xfId="0" applyNumberFormat="1" applyFont="1" applyBorder="1" applyAlignment="1">
      <alignment horizontal="center"/>
    </xf>
    <xf numFmtId="169" fontId="40" fillId="0" borderId="24" xfId="0" applyNumberFormat="1" applyFont="1" applyBorder="1" applyAlignment="1">
      <alignment horizontal="center"/>
    </xf>
    <xf numFmtId="169" fontId="40" fillId="0" borderId="1" xfId="0" applyNumberFormat="1" applyFont="1" applyBorder="1" applyAlignment="1">
      <alignment horizontal="center"/>
    </xf>
    <xf numFmtId="169" fontId="41" fillId="0" borderId="24" xfId="0" applyNumberFormat="1" applyFont="1" applyBorder="1" applyAlignment="1">
      <alignment horizontal="center"/>
    </xf>
    <xf numFmtId="169" fontId="41" fillId="0" borderId="1" xfId="0" applyNumberFormat="1" applyFont="1" applyBorder="1" applyAlignment="1">
      <alignment horizontal="center"/>
    </xf>
    <xf numFmtId="169" fontId="7" fillId="4" borderId="15" xfId="0" applyNumberFormat="1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 vertical="top" wrapText="1"/>
    </xf>
    <xf numFmtId="0" fontId="0" fillId="2" borderId="36" xfId="0" applyFill="1" applyBorder="1" applyAlignment="1">
      <alignment horizontal="center" vertical="top"/>
    </xf>
    <xf numFmtId="0" fontId="22" fillId="2" borderId="36" xfId="0" applyFont="1" applyFill="1" applyBorder="1" applyAlignment="1">
      <alignment horizontal="center" vertical="top"/>
    </xf>
    <xf numFmtId="0" fontId="23" fillId="0" borderId="5" xfId="0" applyFont="1" applyBorder="1" applyAlignment="1"/>
    <xf numFmtId="0" fontId="0" fillId="0" borderId="5" xfId="0" applyBorder="1" applyAlignment="1"/>
    <xf numFmtId="0" fontId="7" fillId="0" borderId="5" xfId="0" applyFont="1" applyBorder="1" applyAlignment="1">
      <alignment horizontal="right"/>
    </xf>
    <xf numFmtId="0" fontId="23" fillId="0" borderId="47" xfId="0" applyFont="1" applyBorder="1" applyAlignment="1"/>
    <xf numFmtId="169" fontId="23" fillId="0" borderId="2" xfId="0" applyNumberFormat="1" applyFont="1" applyBorder="1" applyAlignment="1">
      <alignment vertical="center"/>
    </xf>
    <xf numFmtId="169" fontId="7" fillId="0" borderId="2" xfId="0" applyNumberFormat="1" applyFont="1" applyBorder="1" applyAlignment="1">
      <alignment vertical="center"/>
    </xf>
    <xf numFmtId="169" fontId="8" fillId="0" borderId="53" xfId="0" applyNumberFormat="1" applyFont="1" applyBorder="1" applyAlignment="1">
      <alignment vertical="center"/>
    </xf>
    <xf numFmtId="14" fontId="23" fillId="0" borderId="0" xfId="0" applyNumberFormat="1" applyFont="1" applyBorder="1" applyAlignment="1">
      <alignment horizontal="left"/>
    </xf>
    <xf numFmtId="0" fontId="42" fillId="0" borderId="0" xfId="0" applyFont="1"/>
    <xf numFmtId="0" fontId="43" fillId="0" borderId="0" xfId="0" applyFont="1"/>
    <xf numFmtId="0" fontId="43" fillId="0" borderId="0" xfId="0" applyFont="1" applyAlignment="1">
      <alignment wrapText="1"/>
    </xf>
    <xf numFmtId="2" fontId="43" fillId="0" borderId="0" xfId="0" applyNumberFormat="1" applyFont="1"/>
    <xf numFmtId="175" fontId="43" fillId="0" borderId="0" xfId="0" applyNumberFormat="1" applyFont="1"/>
    <xf numFmtId="0" fontId="43" fillId="0" borderId="0" xfId="0" applyFont="1" applyProtection="1"/>
    <xf numFmtId="0" fontId="43" fillId="0" borderId="0" xfId="0" applyFont="1" applyBorder="1" applyProtection="1"/>
    <xf numFmtId="0" fontId="43" fillId="5" borderId="0" xfId="0" applyFont="1" applyFill="1" applyBorder="1" applyAlignment="1" applyProtection="1">
      <alignment wrapText="1"/>
    </xf>
    <xf numFmtId="0" fontId="44" fillId="0" borderId="0" xfId="0" applyFont="1" applyBorder="1" applyAlignment="1" applyProtection="1">
      <alignment wrapText="1"/>
    </xf>
    <xf numFmtId="175" fontId="43" fillId="0" borderId="0" xfId="0" applyNumberFormat="1" applyFont="1" applyBorder="1" applyAlignment="1" applyProtection="1">
      <alignment wrapText="1"/>
    </xf>
    <xf numFmtId="175" fontId="43" fillId="0" borderId="0" xfId="0" applyNumberFormat="1" applyFont="1" applyFill="1" applyBorder="1" applyProtection="1"/>
    <xf numFmtId="0" fontId="44" fillId="0" borderId="0" xfId="0" applyFont="1" applyFill="1" applyBorder="1" applyAlignment="1" applyProtection="1">
      <alignment wrapText="1"/>
    </xf>
    <xf numFmtId="176" fontId="43" fillId="0" borderId="0" xfId="0" applyNumberFormat="1" applyFont="1" applyFill="1" applyBorder="1" applyProtection="1"/>
    <xf numFmtId="0" fontId="43" fillId="0" borderId="7" xfId="0" applyFont="1" applyBorder="1" applyProtection="1"/>
    <xf numFmtId="0" fontId="43" fillId="0" borderId="13" xfId="0" applyFont="1" applyBorder="1" applyProtection="1"/>
    <xf numFmtId="0" fontId="43" fillId="5" borderId="13" xfId="0" applyFont="1" applyFill="1" applyBorder="1" applyAlignment="1" applyProtection="1">
      <alignment wrapText="1"/>
    </xf>
    <xf numFmtId="175" fontId="43" fillId="0" borderId="13" xfId="0" applyNumberFormat="1" applyFont="1" applyBorder="1" applyAlignment="1" applyProtection="1">
      <alignment wrapText="1"/>
    </xf>
    <xf numFmtId="175" fontId="43" fillId="0" borderId="13" xfId="0" applyNumberFormat="1" applyFont="1" applyFill="1" applyBorder="1" applyProtection="1"/>
    <xf numFmtId="0" fontId="43" fillId="0" borderId="7" xfId="0" applyFont="1" applyBorder="1" applyAlignment="1" applyProtection="1">
      <alignment horizontal="center" vertical="center" textRotation="90" wrapText="1"/>
    </xf>
    <xf numFmtId="176" fontId="43" fillId="0" borderId="13" xfId="0" applyNumberFormat="1" applyFont="1" applyFill="1" applyBorder="1" applyProtection="1"/>
    <xf numFmtId="0" fontId="43" fillId="0" borderId="8" xfId="0" applyFont="1" applyBorder="1" applyProtection="1"/>
    <xf numFmtId="0" fontId="43" fillId="0" borderId="9" xfId="0" applyFont="1" applyBorder="1" applyProtection="1"/>
    <xf numFmtId="0" fontId="43" fillId="0" borderId="14" xfId="0" applyFont="1" applyBorder="1" applyProtection="1"/>
    <xf numFmtId="0" fontId="43" fillId="0" borderId="1" xfId="0" applyFont="1" applyBorder="1" applyAlignment="1" applyProtection="1">
      <alignment horizontal="center" vertical="center" wrapText="1"/>
    </xf>
    <xf numFmtId="0" fontId="44" fillId="0" borderId="1" xfId="0" applyFont="1" applyBorder="1" applyAlignment="1" applyProtection="1">
      <alignment wrapText="1"/>
    </xf>
    <xf numFmtId="0" fontId="43" fillId="6" borderId="1" xfId="0" applyFont="1" applyFill="1" applyBorder="1" applyProtection="1">
      <protection locked="0"/>
    </xf>
    <xf numFmtId="175" fontId="43" fillId="0" borderId="1" xfId="0" applyNumberFormat="1" applyFont="1" applyBorder="1" applyAlignment="1" applyProtection="1">
      <alignment wrapText="1"/>
      <protection locked="0"/>
    </xf>
    <xf numFmtId="175" fontId="43" fillId="0" borderId="1" xfId="0" applyNumberFormat="1" applyFont="1" applyFill="1" applyBorder="1" applyProtection="1">
      <protection locked="0"/>
    </xf>
    <xf numFmtId="0" fontId="44" fillId="0" borderId="18" xfId="0" applyFont="1" applyBorder="1" applyAlignment="1" applyProtection="1">
      <alignment wrapText="1"/>
    </xf>
    <xf numFmtId="0" fontId="44" fillId="0" borderId="18" xfId="0" applyFont="1" applyFill="1" applyBorder="1" applyAlignment="1" applyProtection="1">
      <alignment wrapText="1"/>
    </xf>
    <xf numFmtId="176" fontId="43" fillId="0" borderId="1" xfId="0" applyNumberFormat="1" applyFont="1" applyFill="1" applyBorder="1" applyProtection="1">
      <protection locked="0"/>
    </xf>
    <xf numFmtId="0" fontId="43" fillId="0" borderId="1" xfId="0" applyFont="1" applyBorder="1" applyProtection="1"/>
    <xf numFmtId="175" fontId="43" fillId="0" borderId="1" xfId="0" applyNumberFormat="1" applyFont="1" applyBorder="1" applyProtection="1"/>
    <xf numFmtId="0" fontId="48" fillId="0" borderId="1" xfId="0" applyFont="1" applyBorder="1" applyProtection="1"/>
    <xf numFmtId="175" fontId="48" fillId="0" borderId="1" xfId="0" applyNumberFormat="1" applyFont="1" applyBorder="1" applyProtection="1"/>
    <xf numFmtId="0" fontId="43" fillId="0" borderId="6" xfId="0" applyFont="1" applyBorder="1" applyAlignment="1" applyProtection="1">
      <alignment horizontal="center" vertical="center" wrapText="1"/>
    </xf>
    <xf numFmtId="0" fontId="43" fillId="6" borderId="6" xfId="0" applyFont="1" applyFill="1" applyBorder="1" applyProtection="1">
      <protection locked="0"/>
    </xf>
    <xf numFmtId="175" fontId="43" fillId="0" borderId="6" xfId="0" applyNumberFormat="1" applyFont="1" applyBorder="1" applyAlignment="1" applyProtection="1">
      <alignment wrapText="1"/>
      <protection locked="0"/>
    </xf>
    <xf numFmtId="175" fontId="43" fillId="0" borderId="6" xfId="0" applyNumberFormat="1" applyFont="1" applyFill="1" applyBorder="1" applyProtection="1">
      <protection locked="0"/>
    </xf>
    <xf numFmtId="176" fontId="43" fillId="0" borderId="6" xfId="0" applyNumberFormat="1" applyFont="1" applyFill="1" applyBorder="1" applyProtection="1">
      <protection locked="0"/>
    </xf>
    <xf numFmtId="175" fontId="43" fillId="0" borderId="6" xfId="0" applyNumberFormat="1" applyFont="1" applyBorder="1" applyProtection="1"/>
    <xf numFmtId="0" fontId="48" fillId="0" borderId="15" xfId="0" applyFont="1" applyBorder="1" applyProtection="1"/>
    <xf numFmtId="175" fontId="48" fillId="0" borderId="15" xfId="0" applyNumberFormat="1" applyFont="1" applyBorder="1" applyProtection="1"/>
    <xf numFmtId="0" fontId="3" fillId="0" borderId="5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7" borderId="9" xfId="0" applyFont="1" applyFill="1" applyBorder="1" applyAlignment="1" applyProtection="1">
      <alignment horizontal="right"/>
      <protection locked="0"/>
    </xf>
    <xf numFmtId="14" fontId="2" fillId="7" borderId="9" xfId="0" applyNumberFormat="1" applyFont="1" applyFill="1" applyBorder="1" applyAlignment="1" applyProtection="1">
      <alignment horizontal="left"/>
      <protection locked="0"/>
    </xf>
    <xf numFmtId="0" fontId="23" fillId="7" borderId="9" xfId="0" applyFont="1" applyFill="1" applyBorder="1" applyProtection="1">
      <protection locked="0"/>
    </xf>
    <xf numFmtId="0" fontId="9" fillId="0" borderId="11" xfId="0" applyFont="1" applyBorder="1"/>
    <xf numFmtId="169" fontId="7" fillId="0" borderId="0" xfId="0" applyNumberFormat="1" applyFont="1" applyBorder="1" applyAlignment="1">
      <alignment vertical="center"/>
    </xf>
    <xf numFmtId="169" fontId="7" fillId="0" borderId="13" xfId="0" applyNumberFormat="1" applyFont="1" applyBorder="1" applyAlignment="1">
      <alignment vertical="center"/>
    </xf>
    <xf numFmtId="175" fontId="43" fillId="0" borderId="0" xfId="0" applyNumberFormat="1" applyFont="1" applyBorder="1" applyProtection="1"/>
    <xf numFmtId="175" fontId="43" fillId="0" borderId="13" xfId="0" applyNumberFormat="1" applyFont="1" applyBorder="1" applyProtection="1"/>
    <xf numFmtId="0" fontId="10" fillId="0" borderId="24" xfId="0" applyFont="1" applyBorder="1" applyAlignment="1">
      <alignment horizontal="right"/>
    </xf>
    <xf numFmtId="0" fontId="10" fillId="0" borderId="15" xfId="0" applyFont="1" applyBorder="1" applyAlignment="1">
      <alignment horizontal="right"/>
    </xf>
    <xf numFmtId="0" fontId="26" fillId="0" borderId="0" xfId="1" applyAlignment="1" applyProtection="1">
      <protection locked="0"/>
    </xf>
    <xf numFmtId="0" fontId="0" fillId="0" borderId="0" xfId="0" applyProtection="1"/>
    <xf numFmtId="0" fontId="0" fillId="0" borderId="23" xfId="0" applyBorder="1" applyProtection="1"/>
    <xf numFmtId="0" fontId="0" fillId="0" borderId="49" xfId="0" applyBorder="1" applyProtection="1"/>
    <xf numFmtId="0" fontId="0" fillId="0" borderId="37" xfId="0" applyBorder="1" applyProtection="1"/>
    <xf numFmtId="0" fontId="0" fillId="0" borderId="38" xfId="0" applyBorder="1" applyProtection="1"/>
    <xf numFmtId="0" fontId="0" fillId="0" borderId="0" xfId="0" applyBorder="1" applyProtection="1"/>
    <xf numFmtId="0" fontId="0" fillId="0" borderId="39" xfId="0" applyFill="1" applyBorder="1" applyProtection="1"/>
    <xf numFmtId="0" fontId="0" fillId="0" borderId="40" xfId="0" applyBorder="1" applyProtection="1"/>
    <xf numFmtId="0" fontId="0" fillId="0" borderId="25" xfId="0" applyBorder="1" applyProtection="1"/>
    <xf numFmtId="0" fontId="0" fillId="0" borderId="24" xfId="0" applyBorder="1" applyAlignment="1" applyProtection="1">
      <alignment horizontal="right"/>
    </xf>
    <xf numFmtId="169" fontId="0" fillId="0" borderId="22" xfId="0" applyNumberFormat="1" applyFill="1" applyBorder="1" applyProtection="1"/>
    <xf numFmtId="0" fontId="0" fillId="0" borderId="0" xfId="0" applyBorder="1" applyAlignment="1" applyProtection="1">
      <alignment horizontal="right"/>
    </xf>
    <xf numFmtId="37" fontId="5" fillId="0" borderId="0" xfId="0" applyNumberFormat="1" applyFont="1" applyBorder="1" applyAlignment="1" applyProtection="1">
      <alignment horizontal="left"/>
    </xf>
    <xf numFmtId="0" fontId="0" fillId="0" borderId="11" xfId="0" applyBorder="1" applyProtection="1"/>
    <xf numFmtId="0" fontId="0" fillId="0" borderId="30" xfId="0" applyBorder="1" applyProtection="1"/>
    <xf numFmtId="0" fontId="0" fillId="0" borderId="15" xfId="0" applyBorder="1" applyAlignment="1" applyProtection="1">
      <alignment horizontal="right"/>
    </xf>
    <xf numFmtId="169" fontId="0" fillId="0" borderId="12" xfId="0" applyNumberFormat="1" applyFill="1" applyBorder="1" applyProtection="1"/>
    <xf numFmtId="169" fontId="0" fillId="2" borderId="17" xfId="0" applyNumberFormat="1" applyFill="1" applyBorder="1" applyProtection="1"/>
    <xf numFmtId="0" fontId="9" fillId="0" borderId="11" xfId="0" applyFont="1" applyBorder="1" applyProtection="1"/>
    <xf numFmtId="0" fontId="36" fillId="0" borderId="30" xfId="0" applyFont="1" applyBorder="1" applyProtection="1"/>
    <xf numFmtId="0" fontId="0" fillId="0" borderId="15" xfId="0" applyBorder="1" applyProtection="1"/>
    <xf numFmtId="0" fontId="0" fillId="0" borderId="35" xfId="0" applyBorder="1" applyProtection="1"/>
    <xf numFmtId="0" fontId="0" fillId="0" borderId="41" xfId="0" applyBorder="1" applyProtection="1"/>
    <xf numFmtId="0" fontId="0" fillId="0" borderId="36" xfId="0" applyBorder="1" applyProtection="1"/>
    <xf numFmtId="0" fontId="0" fillId="0" borderId="42" xfId="0" applyBorder="1" applyProtection="1"/>
    <xf numFmtId="0" fontId="0" fillId="0" borderId="2" xfId="0" applyBorder="1" applyProtection="1"/>
    <xf numFmtId="169" fontId="0" fillId="0" borderId="18" xfId="0" applyNumberFormat="1" applyBorder="1" applyProtection="1"/>
    <xf numFmtId="0" fontId="0" fillId="0" borderId="13" xfId="0" applyBorder="1" applyProtection="1"/>
    <xf numFmtId="0" fontId="0" fillId="0" borderId="43" xfId="0" applyBorder="1" applyProtection="1"/>
    <xf numFmtId="0" fontId="0" fillId="0" borderId="44" xfId="0" applyBorder="1" applyProtection="1"/>
    <xf numFmtId="0" fontId="6" fillId="2" borderId="23" xfId="0" applyFont="1" applyFill="1" applyBorder="1" applyProtection="1"/>
    <xf numFmtId="0" fontId="6" fillId="2" borderId="49" xfId="0" applyFont="1" applyFill="1" applyBorder="1" applyProtection="1"/>
    <xf numFmtId="0" fontId="6" fillId="2" borderId="37" xfId="0" applyFont="1" applyFill="1" applyBorder="1" applyAlignment="1" applyProtection="1">
      <alignment horizontal="center"/>
    </xf>
    <xf numFmtId="0" fontId="6" fillId="2" borderId="38" xfId="0" applyFont="1" applyFill="1" applyBorder="1" applyAlignment="1" applyProtection="1">
      <alignment horizontal="center"/>
    </xf>
    <xf numFmtId="0" fontId="5" fillId="0" borderId="24" xfId="0" applyFont="1" applyFill="1" applyBorder="1" applyAlignment="1" applyProtection="1">
      <alignment horizontal="center" vertical="center"/>
    </xf>
    <xf numFmtId="169" fontId="41" fillId="0" borderId="24" xfId="0" applyNumberFormat="1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 vertical="center"/>
    </xf>
    <xf numFmtId="169" fontId="41" fillId="0" borderId="1" xfId="0" applyNumberFormat="1" applyFont="1" applyFill="1" applyBorder="1" applyAlignment="1" applyProtection="1">
      <alignment horizontal="center"/>
    </xf>
    <xf numFmtId="0" fontId="37" fillId="0" borderId="15" xfId="0" applyFont="1" applyFill="1" applyBorder="1" applyAlignment="1" applyProtection="1">
      <alignment horizontal="center" vertical="center"/>
    </xf>
    <xf numFmtId="169" fontId="7" fillId="4" borderId="15" xfId="0" applyNumberFormat="1" applyFont="1" applyFill="1" applyBorder="1" applyAlignment="1" applyProtection="1">
      <alignment horizontal="center"/>
    </xf>
    <xf numFmtId="169" fontId="7" fillId="0" borderId="24" xfId="0" applyNumberFormat="1" applyFont="1" applyBorder="1" applyAlignment="1" applyProtection="1">
      <alignment horizontal="center"/>
    </xf>
    <xf numFmtId="169" fontId="7" fillId="0" borderId="1" xfId="0" applyNumberFormat="1" applyFont="1" applyBorder="1" applyAlignment="1" applyProtection="1">
      <alignment horizontal="center"/>
    </xf>
    <xf numFmtId="173" fontId="0" fillId="0" borderId="15" xfId="0" applyNumberFormat="1" applyBorder="1" applyAlignment="1" applyProtection="1">
      <alignment horizontal="center"/>
    </xf>
    <xf numFmtId="173" fontId="0" fillId="0" borderId="24" xfId="0" applyNumberFormat="1" applyBorder="1" applyAlignment="1" applyProtection="1">
      <alignment horizontal="center"/>
    </xf>
    <xf numFmtId="173" fontId="0" fillId="0" borderId="1" xfId="0" applyNumberFormat="1" applyBorder="1" applyAlignment="1" applyProtection="1">
      <alignment horizontal="center"/>
    </xf>
    <xf numFmtId="0" fontId="0" fillId="0" borderId="32" xfId="0" applyBorder="1" applyAlignment="1" applyProtection="1">
      <alignment wrapText="1"/>
    </xf>
    <xf numFmtId="0" fontId="0" fillId="0" borderId="33" xfId="0" applyBorder="1" applyAlignment="1" applyProtection="1">
      <alignment wrapText="1"/>
    </xf>
    <xf numFmtId="169" fontId="10" fillId="0" borderId="33" xfId="0" applyNumberFormat="1" applyFont="1" applyBorder="1" applyAlignment="1" applyProtection="1">
      <alignment horizontal="center"/>
    </xf>
    <xf numFmtId="0" fontId="0" fillId="0" borderId="45" xfId="0" applyBorder="1" applyProtection="1"/>
    <xf numFmtId="10" fontId="0" fillId="0" borderId="3" xfId="0" applyNumberFormat="1" applyFill="1" applyBorder="1" applyProtection="1"/>
    <xf numFmtId="10" fontId="0" fillId="0" borderId="3" xfId="0" applyNumberFormat="1" applyFill="1" applyBorder="1"/>
    <xf numFmtId="0" fontId="28" fillId="0" borderId="0" xfId="0" applyFont="1" applyAlignment="1">
      <alignment horizontal="center"/>
    </xf>
    <xf numFmtId="0" fontId="4" fillId="5" borderId="0" xfId="0" applyFont="1" applyFill="1" applyAlignment="1">
      <alignment horizontal="left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2" fontId="1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9" fillId="0" borderId="19" xfId="0" applyFont="1" applyBorder="1" applyAlignment="1">
      <alignment horizontal="left" wrapText="1"/>
    </xf>
    <xf numFmtId="0" fontId="10" fillId="0" borderId="5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9" fillId="0" borderId="0" xfId="0" applyFont="1" applyBorder="1" applyAlignment="1">
      <alignment horizontal="left" wrapText="1"/>
    </xf>
    <xf numFmtId="0" fontId="3" fillId="0" borderId="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1" fillId="0" borderId="5" xfId="0" quotePrefix="1" applyFont="1" applyBorder="1" applyAlignment="1">
      <alignment horizontal="center"/>
    </xf>
    <xf numFmtId="0" fontId="11" fillId="0" borderId="18" xfId="0" quotePrefix="1" applyFont="1" applyBorder="1" applyAlignment="1">
      <alignment horizontal="center"/>
    </xf>
    <xf numFmtId="0" fontId="25" fillId="0" borderId="11" xfId="0" applyFont="1" applyBorder="1" applyAlignment="1">
      <alignment horizontal="left" wrapText="1"/>
    </xf>
    <xf numFmtId="0" fontId="25" fillId="0" borderId="15" xfId="0" applyFont="1" applyBorder="1" applyAlignment="1">
      <alignment horizontal="left" wrapText="1"/>
    </xf>
    <xf numFmtId="0" fontId="25" fillId="0" borderId="12" xfId="0" applyFont="1" applyBorder="1" applyAlignment="1">
      <alignment horizontal="left" wrapText="1"/>
    </xf>
    <xf numFmtId="0" fontId="0" fillId="0" borderId="41" xfId="0" applyBorder="1" applyAlignment="1">
      <alignment horizontal="center"/>
    </xf>
    <xf numFmtId="0" fontId="0" fillId="0" borderId="36" xfId="0" applyBorder="1" applyAlignment="1">
      <alignment horizontal="center"/>
    </xf>
    <xf numFmtId="169" fontId="23" fillId="0" borderId="1" xfId="0" applyNumberFormat="1" applyFont="1" applyBorder="1" applyAlignment="1">
      <alignment horizontal="center" vertical="center"/>
    </xf>
    <xf numFmtId="169" fontId="23" fillId="0" borderId="6" xfId="0" applyNumberFormat="1" applyFont="1" applyBorder="1" applyAlignment="1">
      <alignment horizontal="center" vertical="center"/>
    </xf>
    <xf numFmtId="2" fontId="23" fillId="0" borderId="1" xfId="0" applyNumberFormat="1" applyFont="1" applyBorder="1" applyAlignment="1">
      <alignment horizontal="center" vertical="center"/>
    </xf>
    <xf numFmtId="1" fontId="23" fillId="0" borderId="1" xfId="0" applyNumberFormat="1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9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15" xfId="0" applyFont="1" applyBorder="1" applyAlignment="1">
      <alignment horizontal="left" vertical="center"/>
    </xf>
    <xf numFmtId="0" fontId="8" fillId="0" borderId="40" xfId="0" applyFont="1" applyBorder="1" applyAlignment="1"/>
    <xf numFmtId="0" fontId="0" fillId="0" borderId="24" xfId="0" applyBorder="1" applyAlignment="1"/>
    <xf numFmtId="0" fontId="8" fillId="0" borderId="24" xfId="0" applyFont="1" applyBorder="1" applyAlignment="1"/>
    <xf numFmtId="0" fontId="2" fillId="0" borderId="1" xfId="0" applyFont="1" applyBorder="1" applyAlignment="1">
      <alignment wrapText="1"/>
    </xf>
    <xf numFmtId="0" fontId="2" fillId="0" borderId="1" xfId="0" applyFont="1" applyBorder="1" applyAlignment="1"/>
    <xf numFmtId="0" fontId="0" fillId="0" borderId="1" xfId="0" applyBorder="1" applyAlignment="1"/>
    <xf numFmtId="0" fontId="2" fillId="0" borderId="1" xfId="0" applyFont="1" applyBorder="1" applyAlignment="1">
      <alignment horizontal="left"/>
    </xf>
    <xf numFmtId="0" fontId="23" fillId="0" borderId="1" xfId="0" applyFont="1" applyBorder="1" applyAlignment="1">
      <alignment horizontal="left"/>
    </xf>
    <xf numFmtId="0" fontId="2" fillId="0" borderId="15" xfId="0" applyFont="1" applyBorder="1" applyAlignment="1"/>
    <xf numFmtId="0" fontId="0" fillId="0" borderId="15" xfId="0" applyBorder="1" applyAlignment="1"/>
    <xf numFmtId="0" fontId="23" fillId="0" borderId="10" xfId="0" applyFont="1" applyBorder="1" applyAlignment="1">
      <alignment horizontal="center" vertical="center" wrapText="1"/>
    </xf>
    <xf numFmtId="0" fontId="23" fillId="0" borderId="1" xfId="0" applyFont="1" applyBorder="1" applyAlignment="1"/>
    <xf numFmtId="0" fontId="43" fillId="0" borderId="0" xfId="0" applyFont="1" applyAlignment="1">
      <alignment horizontal="left" wrapText="1"/>
    </xf>
    <xf numFmtId="0" fontId="43" fillId="0" borderId="10" xfId="0" applyFont="1" applyBorder="1" applyAlignment="1" applyProtection="1">
      <alignment horizontal="center" vertical="center" textRotation="90" wrapText="1"/>
    </xf>
    <xf numFmtId="0" fontId="46" fillId="0" borderId="35" xfId="0" applyFont="1" applyBorder="1" applyAlignment="1" applyProtection="1">
      <alignment horizontal="center"/>
    </xf>
    <xf numFmtId="0" fontId="46" fillId="0" borderId="41" xfId="0" applyFont="1" applyBorder="1" applyAlignment="1" applyProtection="1">
      <alignment horizontal="center"/>
    </xf>
    <xf numFmtId="0" fontId="46" fillId="0" borderId="36" xfId="0" applyFont="1" applyBorder="1" applyAlignment="1" applyProtection="1">
      <alignment horizontal="center"/>
    </xf>
    <xf numFmtId="0" fontId="47" fillId="0" borderId="0" xfId="0" applyFont="1" applyAlignment="1" applyProtection="1">
      <alignment horizontal="center"/>
    </xf>
    <xf numFmtId="0" fontId="43" fillId="5" borderId="0" xfId="0" applyFont="1" applyFill="1" applyAlignment="1" applyProtection="1">
      <alignment horizontal="left" wrapText="1"/>
    </xf>
    <xf numFmtId="0" fontId="43" fillId="0" borderId="60" xfId="0" applyFont="1" applyBorder="1" applyAlignment="1" applyProtection="1">
      <alignment horizontal="center" vertical="center" textRotation="90" wrapText="1"/>
    </xf>
    <xf numFmtId="0" fontId="43" fillId="0" borderId="61" xfId="0" applyFont="1" applyBorder="1" applyAlignment="1" applyProtection="1">
      <alignment horizontal="center" vertical="center" textRotation="90" wrapText="1"/>
    </xf>
    <xf numFmtId="0" fontId="43" fillId="0" borderId="16" xfId="0" applyFont="1" applyBorder="1" applyAlignment="1" applyProtection="1">
      <alignment horizontal="center" vertical="center" textRotation="90" wrapText="1"/>
    </xf>
    <xf numFmtId="0" fontId="33" fillId="0" borderId="35" xfId="0" applyFont="1" applyBorder="1" applyAlignment="1"/>
    <xf numFmtId="0" fontId="0" fillId="0" borderId="41" xfId="0" applyBorder="1" applyAlignment="1"/>
    <xf numFmtId="0" fontId="0" fillId="0" borderId="36" xfId="0" applyBorder="1" applyAlignment="1"/>
    <xf numFmtId="0" fontId="27" fillId="0" borderId="35" xfId="0" applyFont="1" applyBorder="1" applyAlignment="1"/>
    <xf numFmtId="0" fontId="27" fillId="0" borderId="41" xfId="0" applyFont="1" applyBorder="1" applyAlignment="1"/>
    <xf numFmtId="0" fontId="27" fillId="0" borderId="36" xfId="0" applyFont="1" applyBorder="1" applyAlignment="1"/>
    <xf numFmtId="0" fontId="8" fillId="0" borderId="35" xfId="0" applyFont="1" applyBorder="1" applyAlignment="1"/>
    <xf numFmtId="0" fontId="8" fillId="0" borderId="41" xfId="0" applyFont="1" applyBorder="1" applyAlignment="1"/>
    <xf numFmtId="0" fontId="8" fillId="0" borderId="36" xfId="0" applyFont="1" applyBorder="1" applyAlignment="1"/>
    <xf numFmtId="0" fontId="23" fillId="0" borderId="11" xfId="0" applyFont="1" applyBorder="1" applyAlignment="1"/>
    <xf numFmtId="0" fontId="23" fillId="0" borderId="15" xfId="0" applyFont="1" applyBorder="1" applyAlignment="1"/>
    <xf numFmtId="0" fontId="23" fillId="0" borderId="10" xfId="0" applyFont="1" applyBorder="1" applyAlignment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42" xfId="0" applyFont="1" applyBorder="1" applyAlignment="1">
      <alignment horizontal="right"/>
    </xf>
    <xf numFmtId="0" fontId="7" fillId="0" borderId="18" xfId="0" applyFont="1" applyBorder="1" applyAlignment="1">
      <alignment horizontal="right"/>
    </xf>
    <xf numFmtId="172" fontId="0" fillId="2" borderId="22" xfId="0" applyNumberFormat="1" applyFill="1" applyBorder="1" applyAlignment="1" applyProtection="1">
      <alignment horizontal="left" vertical="center"/>
    </xf>
    <xf numFmtId="172" fontId="0" fillId="2" borderId="6" xfId="0" applyNumberFormat="1" applyFill="1" applyBorder="1" applyAlignment="1" applyProtection="1">
      <alignment horizontal="left" vertical="center"/>
    </xf>
    <xf numFmtId="172" fontId="0" fillId="2" borderId="12" xfId="0" applyNumberFormat="1" applyFill="1" applyBorder="1" applyAlignment="1" applyProtection="1">
      <alignment horizontal="left" vertical="center"/>
    </xf>
    <xf numFmtId="0" fontId="10" fillId="0" borderId="42" xfId="0" applyFont="1" applyBorder="1" applyAlignment="1" applyProtection="1">
      <alignment horizontal="left" wrapText="1"/>
    </xf>
    <xf numFmtId="0" fontId="0" fillId="0" borderId="2" xfId="0" applyBorder="1" applyAlignment="1" applyProtection="1">
      <alignment horizontal="left" wrapText="1"/>
    </xf>
    <xf numFmtId="0" fontId="0" fillId="0" borderId="28" xfId="0" applyBorder="1" applyAlignment="1" applyProtection="1">
      <alignment horizontal="left" wrapText="1"/>
    </xf>
    <xf numFmtId="0" fontId="10" fillId="0" borderId="2" xfId="0" applyFont="1" applyBorder="1" applyAlignment="1" applyProtection="1">
      <alignment horizontal="left" wrapText="1"/>
    </xf>
    <xf numFmtId="0" fontId="10" fillId="0" borderId="28" xfId="0" applyFont="1" applyBorder="1" applyAlignment="1" applyProtection="1">
      <alignment horizontal="left" wrapText="1"/>
    </xf>
    <xf numFmtId="0" fontId="10" fillId="0" borderId="59" xfId="0" applyFont="1" applyBorder="1" applyAlignment="1" applyProtection="1">
      <alignment horizontal="left" wrapText="1"/>
    </xf>
    <xf numFmtId="0" fontId="10" fillId="0" borderId="53" xfId="0" applyFont="1" applyBorder="1" applyAlignment="1" applyProtection="1">
      <alignment horizontal="left" wrapText="1"/>
    </xf>
    <xf numFmtId="0" fontId="10" fillId="0" borderId="31" xfId="0" applyFont="1" applyBorder="1" applyAlignment="1" applyProtection="1">
      <alignment horizontal="left" wrapText="1"/>
    </xf>
    <xf numFmtId="0" fontId="33" fillId="0" borderId="0" xfId="0" applyFont="1" applyAlignment="1" applyProtection="1">
      <alignment horizontal="center"/>
    </xf>
    <xf numFmtId="0" fontId="36" fillId="0" borderId="54" xfId="0" applyFont="1" applyBorder="1" applyAlignment="1" applyProtection="1">
      <alignment horizontal="left"/>
    </xf>
    <xf numFmtId="0" fontId="36" fillId="0" borderId="55" xfId="0" applyFont="1" applyBorder="1" applyAlignment="1" applyProtection="1">
      <alignment horizontal="left"/>
    </xf>
    <xf numFmtId="0" fontId="36" fillId="0" borderId="16" xfId="0" applyFont="1" applyBorder="1" applyAlignment="1" applyProtection="1">
      <alignment horizontal="left"/>
    </xf>
    <xf numFmtId="0" fontId="9" fillId="0" borderId="20" xfId="0" applyFont="1" applyBorder="1" applyAlignment="1" applyProtection="1">
      <alignment horizontal="left" vertical="center"/>
    </xf>
    <xf numFmtId="0" fontId="9" fillId="0" borderId="21" xfId="0" applyFont="1" applyBorder="1" applyAlignment="1" applyProtection="1">
      <alignment horizontal="left" vertical="center"/>
    </xf>
    <xf numFmtId="0" fontId="9" fillId="0" borderId="26" xfId="0" applyFont="1" applyBorder="1" applyAlignment="1" applyProtection="1">
      <alignment horizontal="left" vertical="center"/>
    </xf>
    <xf numFmtId="0" fontId="6" fillId="0" borderId="40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10" fillId="0" borderId="42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10" fillId="0" borderId="28" xfId="0" applyFont="1" applyBorder="1" applyAlignment="1">
      <alignment horizontal="left" wrapText="1"/>
    </xf>
    <xf numFmtId="0" fontId="10" fillId="0" borderId="59" xfId="0" applyFont="1" applyBorder="1" applyAlignment="1">
      <alignment horizontal="left" wrapText="1"/>
    </xf>
    <xf numFmtId="0" fontId="10" fillId="0" borderId="53" xfId="0" applyFont="1" applyBorder="1" applyAlignment="1">
      <alignment horizontal="left" wrapText="1"/>
    </xf>
    <xf numFmtId="0" fontId="10" fillId="0" borderId="31" xfId="0" applyFont="1" applyBorder="1" applyAlignment="1">
      <alignment horizontal="left" wrapText="1"/>
    </xf>
    <xf numFmtId="0" fontId="33" fillId="0" borderId="0" xfId="0" applyFont="1" applyAlignment="1">
      <alignment horizontal="center"/>
    </xf>
    <xf numFmtId="0" fontId="36" fillId="0" borderId="54" xfId="0" applyFont="1" applyBorder="1" applyAlignment="1">
      <alignment horizontal="left"/>
    </xf>
    <xf numFmtId="0" fontId="36" fillId="0" borderId="55" xfId="0" applyFont="1" applyBorder="1" applyAlignment="1">
      <alignment horizontal="left"/>
    </xf>
    <xf numFmtId="0" fontId="36" fillId="0" borderId="16" xfId="0" applyFont="1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36" xfId="0" applyBorder="1" applyAlignment="1">
      <alignment horizontal="left"/>
    </xf>
    <xf numFmtId="0" fontId="9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172" fontId="0" fillId="2" borderId="38" xfId="0" applyNumberFormat="1" applyFill="1" applyBorder="1" applyAlignment="1">
      <alignment horizontal="left" vertical="center" wrapText="1"/>
    </xf>
    <xf numFmtId="172" fontId="0" fillId="2" borderId="56" xfId="0" applyNumberFormat="1" applyFill="1" applyBorder="1" applyAlignment="1">
      <alignment horizontal="left" vertical="center" wrapText="1"/>
    </xf>
    <xf numFmtId="172" fontId="0" fillId="2" borderId="52" xfId="0" applyNumberFormat="1" applyFill="1" applyBorder="1" applyAlignment="1">
      <alignment horizontal="left" vertical="center" wrapText="1"/>
    </xf>
    <xf numFmtId="172" fontId="0" fillId="2" borderId="22" xfId="0" applyNumberFormat="1" applyFill="1" applyBorder="1" applyAlignment="1">
      <alignment horizontal="left" vertical="center"/>
    </xf>
    <xf numFmtId="172" fontId="0" fillId="2" borderId="6" xfId="0" applyNumberFormat="1" applyFill="1" applyBorder="1" applyAlignment="1">
      <alignment horizontal="left" vertical="center"/>
    </xf>
    <xf numFmtId="172" fontId="0" fillId="2" borderId="12" xfId="0" applyNumberFormat="1" applyFill="1" applyBorder="1" applyAlignment="1">
      <alignment horizontal="left" vertical="center"/>
    </xf>
    <xf numFmtId="0" fontId="0" fillId="0" borderId="2" xfId="0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2" fillId="0" borderId="58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174" fontId="23" fillId="0" borderId="48" xfId="2" applyNumberFormat="1" applyFont="1" applyBorder="1" applyAlignment="1">
      <alignment horizontal="center"/>
    </xf>
    <xf numFmtId="174" fontId="23" fillId="0" borderId="5" xfId="2" applyNumberFormat="1" applyFont="1" applyBorder="1" applyAlignment="1">
      <alignment horizontal="center"/>
    </xf>
    <xf numFmtId="174" fontId="34" fillId="2" borderId="47" xfId="2" applyNumberFormat="1" applyFont="1" applyFill="1" applyBorder="1" applyAlignment="1">
      <alignment horizontal="center"/>
    </xf>
    <xf numFmtId="174" fontId="0" fillId="0" borderId="0" xfId="2" applyNumberFormat="1" applyFont="1" applyBorder="1"/>
  </cellXfs>
  <cellStyles count="3">
    <cellStyle name="Collegamento ipertestuale" xfId="1" builtinId="8"/>
    <cellStyle name="Euro" xfId="2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20</xdr:row>
      <xdr:rowOff>76200</xdr:rowOff>
    </xdr:from>
    <xdr:ext cx="0" cy="229658"/>
    <xdr:sp macro="" textlink="">
      <xdr:nvSpPr>
        <xdr:cNvPr id="1040" name="Rectangle 16"/>
        <xdr:cNvSpPr>
          <a:spLocks noChangeArrowheads="1"/>
        </xdr:cNvSpPr>
      </xdr:nvSpPr>
      <xdr:spPr bwMode="auto">
        <a:xfrm>
          <a:off x="5857875" y="57816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20</xdr:row>
      <xdr:rowOff>57150</xdr:rowOff>
    </xdr:from>
    <xdr:ext cx="0" cy="228600"/>
    <xdr:sp macro="" textlink="">
      <xdr:nvSpPr>
        <xdr:cNvPr id="1041" name="Rectangle 17"/>
        <xdr:cNvSpPr>
          <a:spLocks noChangeArrowheads="1"/>
        </xdr:cNvSpPr>
      </xdr:nvSpPr>
      <xdr:spPr bwMode="auto">
        <a:xfrm>
          <a:off x="5857875" y="57626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28</xdr:row>
      <xdr:rowOff>76200</xdr:rowOff>
    </xdr:from>
    <xdr:ext cx="0" cy="228600"/>
    <xdr:sp macro="" textlink="">
      <xdr:nvSpPr>
        <xdr:cNvPr id="1052" name="Rectangle 28"/>
        <xdr:cNvSpPr>
          <a:spLocks noChangeArrowheads="1"/>
        </xdr:cNvSpPr>
      </xdr:nvSpPr>
      <xdr:spPr bwMode="auto">
        <a:xfrm>
          <a:off x="5857875" y="8315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28</xdr:row>
      <xdr:rowOff>57150</xdr:rowOff>
    </xdr:from>
    <xdr:ext cx="0" cy="228600"/>
    <xdr:sp macro="" textlink="">
      <xdr:nvSpPr>
        <xdr:cNvPr id="1053" name="Rectangle 29"/>
        <xdr:cNvSpPr>
          <a:spLocks noChangeArrowheads="1"/>
        </xdr:cNvSpPr>
      </xdr:nvSpPr>
      <xdr:spPr bwMode="auto">
        <a:xfrm>
          <a:off x="5857875" y="82962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29</xdr:row>
      <xdr:rowOff>76200</xdr:rowOff>
    </xdr:from>
    <xdr:ext cx="0" cy="228600"/>
    <xdr:sp macro="" textlink="">
      <xdr:nvSpPr>
        <xdr:cNvPr id="1063" name="Rectangle 39"/>
        <xdr:cNvSpPr>
          <a:spLocks noChangeArrowheads="1"/>
        </xdr:cNvSpPr>
      </xdr:nvSpPr>
      <xdr:spPr bwMode="auto">
        <a:xfrm>
          <a:off x="5857875" y="86391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29</xdr:row>
      <xdr:rowOff>57150</xdr:rowOff>
    </xdr:from>
    <xdr:ext cx="0" cy="228600"/>
    <xdr:sp macro="" textlink="">
      <xdr:nvSpPr>
        <xdr:cNvPr id="1064" name="Rectangle 40"/>
        <xdr:cNvSpPr>
          <a:spLocks noChangeArrowheads="1"/>
        </xdr:cNvSpPr>
      </xdr:nvSpPr>
      <xdr:spPr bwMode="auto">
        <a:xfrm>
          <a:off x="5857875" y="86201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30</xdr:row>
      <xdr:rowOff>76200</xdr:rowOff>
    </xdr:from>
    <xdr:ext cx="0" cy="228600"/>
    <xdr:sp macro="" textlink="">
      <xdr:nvSpPr>
        <xdr:cNvPr id="1065" name="Rectangle 41"/>
        <xdr:cNvSpPr>
          <a:spLocks noChangeArrowheads="1"/>
        </xdr:cNvSpPr>
      </xdr:nvSpPr>
      <xdr:spPr bwMode="auto">
        <a:xfrm>
          <a:off x="5857875" y="89630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30</xdr:row>
      <xdr:rowOff>57150</xdr:rowOff>
    </xdr:from>
    <xdr:ext cx="0" cy="228600"/>
    <xdr:sp macro="" textlink="">
      <xdr:nvSpPr>
        <xdr:cNvPr id="1066" name="Rectangle 42"/>
        <xdr:cNvSpPr>
          <a:spLocks noChangeArrowheads="1"/>
        </xdr:cNvSpPr>
      </xdr:nvSpPr>
      <xdr:spPr bwMode="auto">
        <a:xfrm>
          <a:off x="5857875" y="89439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31</xdr:row>
      <xdr:rowOff>76200</xdr:rowOff>
    </xdr:from>
    <xdr:ext cx="0" cy="233892"/>
    <xdr:sp macro="" textlink="">
      <xdr:nvSpPr>
        <xdr:cNvPr id="1067" name="Rectangle 43"/>
        <xdr:cNvSpPr>
          <a:spLocks noChangeArrowheads="1"/>
        </xdr:cNvSpPr>
      </xdr:nvSpPr>
      <xdr:spPr bwMode="auto">
        <a:xfrm>
          <a:off x="5857875" y="92868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31</xdr:row>
      <xdr:rowOff>57150</xdr:rowOff>
    </xdr:from>
    <xdr:ext cx="0" cy="224367"/>
    <xdr:sp macro="" textlink="">
      <xdr:nvSpPr>
        <xdr:cNvPr id="1068" name="Rectangle 44"/>
        <xdr:cNvSpPr>
          <a:spLocks noChangeArrowheads="1"/>
        </xdr:cNvSpPr>
      </xdr:nvSpPr>
      <xdr:spPr bwMode="auto">
        <a:xfrm>
          <a:off x="5857875" y="92678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40</xdr:row>
      <xdr:rowOff>76200</xdr:rowOff>
    </xdr:from>
    <xdr:ext cx="0" cy="228600"/>
    <xdr:sp macro="" textlink="">
      <xdr:nvSpPr>
        <xdr:cNvPr id="1070" name="Rectangle 46"/>
        <xdr:cNvSpPr>
          <a:spLocks noChangeArrowheads="1"/>
        </xdr:cNvSpPr>
      </xdr:nvSpPr>
      <xdr:spPr bwMode="auto">
        <a:xfrm>
          <a:off x="5857875" y="117157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40</xdr:row>
      <xdr:rowOff>57150</xdr:rowOff>
    </xdr:from>
    <xdr:ext cx="0" cy="228600"/>
    <xdr:sp macro="" textlink="">
      <xdr:nvSpPr>
        <xdr:cNvPr id="1071" name="Rectangle 47"/>
        <xdr:cNvSpPr>
          <a:spLocks noChangeArrowheads="1"/>
        </xdr:cNvSpPr>
      </xdr:nvSpPr>
      <xdr:spPr bwMode="auto">
        <a:xfrm>
          <a:off x="5857875" y="116967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40</xdr:row>
      <xdr:rowOff>76200</xdr:rowOff>
    </xdr:from>
    <xdr:ext cx="0" cy="228600"/>
    <xdr:sp macro="" textlink="">
      <xdr:nvSpPr>
        <xdr:cNvPr id="1072" name="Rectangle 48"/>
        <xdr:cNvSpPr>
          <a:spLocks noChangeArrowheads="1"/>
        </xdr:cNvSpPr>
      </xdr:nvSpPr>
      <xdr:spPr bwMode="auto">
        <a:xfrm>
          <a:off x="6905625" y="117157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40</xdr:row>
      <xdr:rowOff>57150</xdr:rowOff>
    </xdr:from>
    <xdr:ext cx="0" cy="228600"/>
    <xdr:sp macro="" textlink="">
      <xdr:nvSpPr>
        <xdr:cNvPr id="1073" name="Rectangle 49"/>
        <xdr:cNvSpPr>
          <a:spLocks noChangeArrowheads="1"/>
        </xdr:cNvSpPr>
      </xdr:nvSpPr>
      <xdr:spPr bwMode="auto">
        <a:xfrm>
          <a:off x="6905625" y="116967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23</xdr:row>
          <xdr:rowOff>28575</xdr:rowOff>
        </xdr:from>
        <xdr:to>
          <xdr:col>2</xdr:col>
          <xdr:colOff>1085850</xdr:colOff>
          <xdr:row>24</xdr:row>
          <xdr:rowOff>133350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18</xdr:row>
          <xdr:rowOff>285750</xdr:rowOff>
        </xdr:from>
        <xdr:to>
          <xdr:col>5</xdr:col>
          <xdr:colOff>952500</xdr:colOff>
          <xdr:row>19</xdr:row>
          <xdr:rowOff>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44</xdr:row>
          <xdr:rowOff>0</xdr:rowOff>
        </xdr:from>
        <xdr:to>
          <xdr:col>4</xdr:col>
          <xdr:colOff>571500</xdr:colOff>
          <xdr:row>46</xdr:row>
          <xdr:rowOff>114300</xdr:rowOff>
        </xdr:to>
        <xdr:sp macro="" textlink="">
          <xdr:nvSpPr>
            <xdr:cNvPr id="1074" name="Object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10" Type="http://schemas.openxmlformats.org/officeDocument/2006/relationships/comments" Target="../comments1.xml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lastraasigna.comune.plugandpay.it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lastraasigna.comune.plugandpay.it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>
    <pageSetUpPr fitToPage="1"/>
  </sheetPr>
  <dimension ref="A1:L50"/>
  <sheetViews>
    <sheetView tabSelected="1" zoomScaleNormal="100" workbookViewId="0">
      <selection activeCell="C9" sqref="C9"/>
    </sheetView>
  </sheetViews>
  <sheetFormatPr defaultColWidth="9.140625" defaultRowHeight="14.25" x14ac:dyDescent="0.2"/>
  <cols>
    <col min="1" max="1" width="7" style="1" customWidth="1"/>
    <col min="2" max="2" width="17.140625" style="1" customWidth="1"/>
    <col min="3" max="3" width="18.140625" style="1" customWidth="1"/>
    <col min="4" max="4" width="15.5703125" style="1" customWidth="1"/>
    <col min="5" max="5" width="12.5703125" style="1" customWidth="1"/>
    <col min="6" max="6" width="17.42578125" style="1" customWidth="1"/>
    <col min="7" max="7" width="15.7109375" style="1" customWidth="1"/>
    <col min="8" max="8" width="13.5703125" style="1" customWidth="1"/>
    <col min="9" max="9" width="10.28515625" style="1" customWidth="1"/>
    <col min="10" max="16384" width="9.140625" style="1"/>
  </cols>
  <sheetData>
    <row r="1" spans="1:9" ht="20.25" x14ac:dyDescent="0.3">
      <c r="A1" s="320" t="s">
        <v>155</v>
      </c>
      <c r="B1" s="320"/>
      <c r="C1" s="320"/>
      <c r="D1" s="320"/>
      <c r="E1" s="320"/>
      <c r="F1" s="320"/>
      <c r="G1" s="320"/>
      <c r="H1" s="320"/>
      <c r="I1" s="320"/>
    </row>
    <row r="2" spans="1:9" ht="267" customHeight="1" x14ac:dyDescent="0.2">
      <c r="A2" s="321" t="s">
        <v>193</v>
      </c>
      <c r="B2" s="321"/>
      <c r="C2" s="321"/>
      <c r="D2" s="321"/>
      <c r="E2" s="321"/>
      <c r="F2" s="321"/>
      <c r="G2" s="321"/>
      <c r="H2" s="321"/>
      <c r="I2" s="321"/>
    </row>
    <row r="4" spans="1:9" ht="35.25" customHeight="1" x14ac:dyDescent="0.25">
      <c r="A4" s="324" t="s">
        <v>58</v>
      </c>
      <c r="B4" s="324"/>
      <c r="C4" s="324"/>
      <c r="D4" s="324"/>
      <c r="E4" s="324"/>
      <c r="F4" s="324"/>
      <c r="G4" s="324"/>
      <c r="H4" s="324"/>
      <c r="I4" s="324"/>
    </row>
    <row r="5" spans="1:9" ht="11.25" customHeight="1" x14ac:dyDescent="0.2"/>
    <row r="6" spans="1:9" ht="15" x14ac:dyDescent="0.25">
      <c r="A6" s="15" t="s">
        <v>0</v>
      </c>
      <c r="B6" s="15"/>
      <c r="C6" s="15"/>
      <c r="D6" s="15"/>
    </row>
    <row r="7" spans="1:9" s="18" customFormat="1" ht="38.25" x14ac:dyDescent="0.2">
      <c r="A7" s="322" t="s">
        <v>1</v>
      </c>
      <c r="B7" s="323"/>
      <c r="C7" s="21" t="s">
        <v>2</v>
      </c>
      <c r="D7" s="326" t="s">
        <v>3</v>
      </c>
      <c r="E7" s="326"/>
      <c r="F7" s="86" t="s">
        <v>4</v>
      </c>
      <c r="G7" s="87" t="s">
        <v>5</v>
      </c>
      <c r="H7" s="87" t="s">
        <v>6</v>
      </c>
    </row>
    <row r="8" spans="1:9" s="18" customFormat="1" ht="5.25" customHeight="1" x14ac:dyDescent="0.2">
      <c r="A8" s="255"/>
      <c r="B8" s="256"/>
      <c r="C8" s="21"/>
      <c r="D8" s="257"/>
      <c r="E8" s="257"/>
      <c r="F8" s="256"/>
      <c r="G8" s="87"/>
      <c r="H8" s="87"/>
    </row>
    <row r="9" spans="1:9" ht="20.100000000000001" customHeight="1" x14ac:dyDescent="0.2">
      <c r="A9" s="327" t="s">
        <v>91</v>
      </c>
      <c r="B9" s="328"/>
      <c r="C9" s="112">
        <v>0</v>
      </c>
      <c r="D9" s="325">
        <v>0</v>
      </c>
      <c r="E9" s="325"/>
      <c r="F9" s="88">
        <f>IF(D9&gt;0,D9/$E$14,)</f>
        <v>0</v>
      </c>
      <c r="G9" s="89">
        <v>0</v>
      </c>
      <c r="H9" s="90">
        <f>F9*G9</f>
        <v>0</v>
      </c>
    </row>
    <row r="10" spans="1:9" ht="20.100000000000001" customHeight="1" x14ac:dyDescent="0.2">
      <c r="A10" s="327" t="s">
        <v>92</v>
      </c>
      <c r="B10" s="328"/>
      <c r="C10" s="112">
        <v>0</v>
      </c>
      <c r="D10" s="325">
        <v>0</v>
      </c>
      <c r="E10" s="325"/>
      <c r="F10" s="88">
        <f>IF(D10&gt;0,D10/$E$14,)</f>
        <v>0</v>
      </c>
      <c r="G10" s="89">
        <v>5</v>
      </c>
      <c r="H10" s="90">
        <f>F10*G10</f>
        <v>0</v>
      </c>
    </row>
    <row r="11" spans="1:9" ht="20.100000000000001" customHeight="1" x14ac:dyDescent="0.2">
      <c r="A11" s="327" t="s">
        <v>93</v>
      </c>
      <c r="B11" s="328"/>
      <c r="C11" s="112">
        <v>0</v>
      </c>
      <c r="D11" s="325">
        <v>0</v>
      </c>
      <c r="E11" s="325"/>
      <c r="F11" s="88">
        <f>IF(D11&gt;0,D11/$E$14,)</f>
        <v>0</v>
      </c>
      <c r="G11" s="89">
        <v>15</v>
      </c>
      <c r="H11" s="90">
        <f>F11*G11</f>
        <v>0</v>
      </c>
    </row>
    <row r="12" spans="1:9" ht="20.100000000000001" customHeight="1" x14ac:dyDescent="0.2">
      <c r="A12" s="327" t="s">
        <v>94</v>
      </c>
      <c r="B12" s="328"/>
      <c r="C12" s="112">
        <v>0</v>
      </c>
      <c r="D12" s="325">
        <v>0</v>
      </c>
      <c r="E12" s="325"/>
      <c r="F12" s="88">
        <f>IF(D12&gt;0,D12/$E$14,)</f>
        <v>0</v>
      </c>
      <c r="G12" s="89">
        <v>30</v>
      </c>
      <c r="H12" s="90">
        <f>F12*G12</f>
        <v>0</v>
      </c>
    </row>
    <row r="13" spans="1:9" ht="20.100000000000001" customHeight="1" x14ac:dyDescent="0.2">
      <c r="A13" s="327" t="s">
        <v>95</v>
      </c>
      <c r="B13" s="328"/>
      <c r="C13" s="112">
        <v>0</v>
      </c>
      <c r="D13" s="325">
        <v>0</v>
      </c>
      <c r="E13" s="325"/>
      <c r="F13" s="88">
        <f>IF(D13&gt;0,D13/$E$14,)</f>
        <v>0</v>
      </c>
      <c r="G13" s="89">
        <v>50</v>
      </c>
      <c r="H13" s="90">
        <f>F13*G13</f>
        <v>0</v>
      </c>
    </row>
    <row r="14" spans="1:9" s="6" customFormat="1" ht="20.100000000000001" customHeight="1" x14ac:dyDescent="0.25">
      <c r="B14" s="36" t="s">
        <v>55</v>
      </c>
      <c r="C14" s="6">
        <f>SUM(C9:C13)</f>
        <v>0</v>
      </c>
      <c r="D14" s="40" t="s">
        <v>56</v>
      </c>
      <c r="E14" s="76">
        <f>SUM(D9:E13)</f>
        <v>0</v>
      </c>
      <c r="H14" s="6" t="s">
        <v>50</v>
      </c>
      <c r="I14" s="37">
        <f>SUM(H9:H13)</f>
        <v>0</v>
      </c>
    </row>
    <row r="15" spans="1:9" ht="10.5" customHeight="1" x14ac:dyDescent="0.2"/>
    <row r="16" spans="1:9" ht="38.25" customHeight="1" x14ac:dyDescent="0.2">
      <c r="A16" s="329" t="s">
        <v>7</v>
      </c>
      <c r="B16" s="329"/>
      <c r="C16" s="329"/>
      <c r="D16" s="9"/>
    </row>
    <row r="17" spans="1:11" s="26" customFormat="1" ht="38.25" x14ac:dyDescent="0.2">
      <c r="A17" s="339" t="s">
        <v>8</v>
      </c>
      <c r="B17" s="340"/>
      <c r="C17" s="24" t="s">
        <v>9</v>
      </c>
      <c r="D17" s="25"/>
      <c r="E17" s="45"/>
      <c r="F17" s="338" t="s">
        <v>19</v>
      </c>
      <c r="G17" s="338"/>
      <c r="H17" s="338"/>
    </row>
    <row r="18" spans="1:11" ht="5.25" customHeight="1" x14ac:dyDescent="0.2">
      <c r="A18" s="341"/>
      <c r="B18" s="342"/>
      <c r="C18" s="23"/>
      <c r="D18" s="8"/>
      <c r="F18" s="329"/>
      <c r="G18" s="329"/>
      <c r="H18" s="329"/>
    </row>
    <row r="19" spans="1:11" s="29" customFormat="1" ht="54.75" x14ac:dyDescent="0.2">
      <c r="A19" s="27" t="s">
        <v>10</v>
      </c>
      <c r="B19" s="32" t="s">
        <v>14</v>
      </c>
      <c r="C19" s="113">
        <v>0</v>
      </c>
      <c r="D19" s="28" t="s">
        <v>100</v>
      </c>
      <c r="F19" s="30" t="s">
        <v>20</v>
      </c>
      <c r="G19" s="31" t="s">
        <v>21</v>
      </c>
      <c r="H19" s="31" t="s">
        <v>22</v>
      </c>
    </row>
    <row r="20" spans="1:11" ht="30" customHeight="1" x14ac:dyDescent="0.2">
      <c r="A20" s="3" t="s">
        <v>11</v>
      </c>
      <c r="B20" s="4" t="s">
        <v>15</v>
      </c>
      <c r="C20" s="113">
        <v>0</v>
      </c>
      <c r="D20" s="10"/>
      <c r="F20" s="7" t="s">
        <v>23</v>
      </c>
      <c r="G20" s="7" t="s">
        <v>24</v>
      </c>
      <c r="H20" s="7" t="s">
        <v>25</v>
      </c>
    </row>
    <row r="21" spans="1:11" ht="23.25" customHeight="1" x14ac:dyDescent="0.25">
      <c r="A21" s="3" t="s">
        <v>12</v>
      </c>
      <c r="B21" s="4" t="s">
        <v>17</v>
      </c>
      <c r="C21" s="113">
        <v>0</v>
      </c>
      <c r="D21" s="10"/>
      <c r="F21" s="3" t="s">
        <v>96</v>
      </c>
      <c r="G21" s="84" t="str">
        <f>IF(K21=0,"X","")</f>
        <v>X</v>
      </c>
      <c r="H21" s="3">
        <v>0</v>
      </c>
      <c r="K21" s="85">
        <f>IF(D$24&lt;50.01,0,"")</f>
        <v>0</v>
      </c>
    </row>
    <row r="22" spans="1:11" ht="18.75" customHeight="1" x14ac:dyDescent="0.25">
      <c r="A22" s="3" t="s">
        <v>13</v>
      </c>
      <c r="B22" s="2" t="s">
        <v>16</v>
      </c>
      <c r="C22" s="113">
        <v>0</v>
      </c>
      <c r="D22" s="10"/>
      <c r="F22" s="3" t="s">
        <v>97</v>
      </c>
      <c r="G22" s="84" t="str">
        <f>IF(K22=10,"X","")</f>
        <v/>
      </c>
      <c r="H22" s="3">
        <v>10</v>
      </c>
      <c r="K22" s="85" t="str">
        <f>IF(AND(D$24&gt;50,D24&lt;75.01),10,"")</f>
        <v/>
      </c>
    </row>
    <row r="23" spans="1:11" ht="18.75" customHeight="1" x14ac:dyDescent="0.25">
      <c r="B23" s="5" t="s">
        <v>18</v>
      </c>
      <c r="C23" s="77">
        <f>SUM(C19:C22)</f>
        <v>0</v>
      </c>
      <c r="D23" s="11"/>
      <c r="F23" s="3" t="s">
        <v>98</v>
      </c>
      <c r="G23" s="84" t="str">
        <f>IF(K23=20,"X","")</f>
        <v/>
      </c>
      <c r="H23" s="3">
        <v>20</v>
      </c>
      <c r="K23" s="85" t="str">
        <f>IF(AND(D$24&gt;75,D24&lt;100.01),20,"")</f>
        <v/>
      </c>
    </row>
    <row r="24" spans="1:11" ht="19.5" customHeight="1" x14ac:dyDescent="0.25">
      <c r="D24" s="92">
        <f>IF(E14&gt;0,C23/E14*100,)</f>
        <v>0</v>
      </c>
      <c r="F24" s="3" t="s">
        <v>99</v>
      </c>
      <c r="G24" s="84" t="str">
        <f>IF(K24=30,"X","")</f>
        <v/>
      </c>
      <c r="H24" s="3">
        <v>30</v>
      </c>
      <c r="K24" s="85" t="str">
        <f>IF(D$24&gt;100,30,"")</f>
        <v/>
      </c>
    </row>
    <row r="25" spans="1:11" ht="21" customHeight="1" x14ac:dyDescent="0.25">
      <c r="H25" s="6" t="s">
        <v>49</v>
      </c>
      <c r="I25" s="91">
        <f>MAX(K21:K24)</f>
        <v>0</v>
      </c>
    </row>
    <row r="27" spans="1:11" s="19" customFormat="1" ht="30" customHeight="1" x14ac:dyDescent="0.2">
      <c r="A27" s="337" t="s">
        <v>26</v>
      </c>
      <c r="B27" s="337"/>
      <c r="C27" s="337"/>
      <c r="D27" s="337"/>
      <c r="F27" s="329" t="s">
        <v>45</v>
      </c>
      <c r="G27" s="329"/>
      <c r="H27" s="329"/>
      <c r="I27" s="26"/>
    </row>
    <row r="28" spans="1:11" s="19" customFormat="1" ht="25.5" x14ac:dyDescent="0.2">
      <c r="A28" s="330" t="s">
        <v>27</v>
      </c>
      <c r="B28" s="331"/>
      <c r="C28" s="20" t="s">
        <v>28</v>
      </c>
      <c r="D28" s="20" t="s">
        <v>29</v>
      </c>
      <c r="F28" s="33" t="s">
        <v>46</v>
      </c>
      <c r="G28" s="17" t="s">
        <v>21</v>
      </c>
      <c r="H28" s="17" t="s">
        <v>22</v>
      </c>
    </row>
    <row r="29" spans="1:11" s="19" customFormat="1" ht="28.5" customHeight="1" x14ac:dyDescent="0.2">
      <c r="A29" s="22">
        <v>1</v>
      </c>
      <c r="B29" s="22" t="s">
        <v>30</v>
      </c>
      <c r="C29" s="22" t="s">
        <v>31</v>
      </c>
      <c r="D29" s="46">
        <f>E14</f>
        <v>0</v>
      </c>
      <c r="F29" s="34">
        <v>0</v>
      </c>
      <c r="G29" s="176"/>
      <c r="H29" s="34">
        <v>0</v>
      </c>
      <c r="I29" s="212">
        <f>IF(ISBLANK(G29),,H29)</f>
        <v>0</v>
      </c>
    </row>
    <row r="30" spans="1:11" s="19" customFormat="1" ht="25.5" x14ac:dyDescent="0.2">
      <c r="A30" s="22">
        <v>2</v>
      </c>
      <c r="B30" s="22" t="s">
        <v>32</v>
      </c>
      <c r="C30" s="22" t="s">
        <v>33</v>
      </c>
      <c r="D30" s="46">
        <f>C23</f>
        <v>0</v>
      </c>
      <c r="F30" s="34">
        <v>1</v>
      </c>
      <c r="G30" s="176"/>
      <c r="H30" s="34">
        <v>10</v>
      </c>
      <c r="I30" s="212">
        <f t="shared" ref="I30:I34" si="0">IF(ISBLANK(G30),,H30)</f>
        <v>0</v>
      </c>
    </row>
    <row r="31" spans="1:11" s="19" customFormat="1" ht="25.5" x14ac:dyDescent="0.2">
      <c r="A31" s="22">
        <v>3</v>
      </c>
      <c r="B31" s="22" t="s">
        <v>34</v>
      </c>
      <c r="C31" s="22" t="s">
        <v>35</v>
      </c>
      <c r="D31" s="46">
        <f>D30*0.6</f>
        <v>0</v>
      </c>
      <c r="F31" s="34">
        <v>2</v>
      </c>
      <c r="G31" s="176"/>
      <c r="H31" s="34">
        <v>20</v>
      </c>
      <c r="I31" s="212">
        <f t="shared" si="0"/>
        <v>0</v>
      </c>
    </row>
    <row r="32" spans="1:11" s="19" customFormat="1" ht="25.5" x14ac:dyDescent="0.2">
      <c r="A32" s="22" t="s">
        <v>36</v>
      </c>
      <c r="B32" s="22" t="s">
        <v>37</v>
      </c>
      <c r="C32" s="22" t="s">
        <v>35</v>
      </c>
      <c r="D32" s="78">
        <f>D29+D31</f>
        <v>0</v>
      </c>
      <c r="F32" s="34">
        <v>3</v>
      </c>
      <c r="G32" s="176"/>
      <c r="H32" s="34">
        <v>30</v>
      </c>
      <c r="I32" s="212">
        <f t="shared" si="0"/>
        <v>0</v>
      </c>
    </row>
    <row r="33" spans="1:12" s="19" customFormat="1" ht="24" customHeight="1" x14ac:dyDescent="0.2">
      <c r="F33" s="3">
        <v>4</v>
      </c>
      <c r="G33" s="176"/>
      <c r="H33" s="3">
        <v>40</v>
      </c>
      <c r="I33" s="212">
        <f t="shared" si="0"/>
        <v>0</v>
      </c>
    </row>
    <row r="34" spans="1:12" ht="24" customHeight="1" x14ac:dyDescent="0.2">
      <c r="F34" s="3">
        <v>5</v>
      </c>
      <c r="G34" s="176"/>
      <c r="H34" s="3">
        <v>50</v>
      </c>
      <c r="I34" s="212">
        <f t="shared" si="0"/>
        <v>0</v>
      </c>
    </row>
    <row r="35" spans="1:12" ht="24" customHeight="1" x14ac:dyDescent="0.25">
      <c r="F35" s="19"/>
      <c r="G35" s="19"/>
      <c r="H35" s="35" t="s">
        <v>51</v>
      </c>
      <c r="I35" s="91">
        <f>SUM(I29:I34)</f>
        <v>0</v>
      </c>
    </row>
    <row r="36" spans="1:12" s="19" customFormat="1" ht="25.5" customHeight="1" x14ac:dyDescent="0.2">
      <c r="A36" s="336" t="s">
        <v>38</v>
      </c>
      <c r="B36" s="336"/>
      <c r="C36" s="336"/>
      <c r="D36" s="336"/>
    </row>
    <row r="37" spans="1:12" s="19" customFormat="1" ht="14.25" customHeight="1" thickBot="1" x14ac:dyDescent="0.25">
      <c r="A37" s="334" t="s">
        <v>27</v>
      </c>
      <c r="B37" s="335"/>
      <c r="C37" s="2" t="s">
        <v>28</v>
      </c>
      <c r="D37" s="2" t="s">
        <v>29</v>
      </c>
    </row>
    <row r="38" spans="1:12" s="19" customFormat="1" ht="33" customHeight="1" thickBot="1" x14ac:dyDescent="0.25">
      <c r="A38" s="22">
        <v>1</v>
      </c>
      <c r="B38" s="22" t="s">
        <v>40</v>
      </c>
      <c r="C38" s="22" t="s">
        <v>33</v>
      </c>
      <c r="D38" s="114">
        <v>0</v>
      </c>
      <c r="H38" s="18" t="s">
        <v>54</v>
      </c>
      <c r="I38" s="38">
        <f>I14+I25+I35</f>
        <v>0</v>
      </c>
      <c r="J38" s="93">
        <f>INT(I38/5)</f>
        <v>0</v>
      </c>
      <c r="K38" s="94">
        <f>J38*5</f>
        <v>0</v>
      </c>
      <c r="L38" s="93"/>
    </row>
    <row r="39" spans="1:12" s="19" customFormat="1" ht="35.25" customHeight="1" x14ac:dyDescent="0.2">
      <c r="A39" s="22">
        <v>2</v>
      </c>
      <c r="B39" s="22" t="s">
        <v>39</v>
      </c>
      <c r="C39" s="22" t="s">
        <v>41</v>
      </c>
      <c r="D39" s="114">
        <v>0</v>
      </c>
      <c r="F39" s="17" t="s">
        <v>47</v>
      </c>
      <c r="G39" s="17" t="s">
        <v>48</v>
      </c>
      <c r="J39" s="93"/>
      <c r="K39" s="93"/>
      <c r="L39" s="93"/>
    </row>
    <row r="40" spans="1:12" s="19" customFormat="1" ht="24.75" customHeight="1" x14ac:dyDescent="0.2">
      <c r="A40" s="22">
        <v>3</v>
      </c>
      <c r="B40" s="22" t="s">
        <v>42</v>
      </c>
      <c r="C40" s="22" t="s">
        <v>35</v>
      </c>
      <c r="D40" s="46">
        <f>D39*0.6</f>
        <v>0</v>
      </c>
      <c r="F40" s="7"/>
      <c r="G40" s="7"/>
      <c r="J40" s="93"/>
      <c r="K40" s="93"/>
      <c r="L40" s="93"/>
    </row>
    <row r="41" spans="1:12" s="19" customFormat="1" ht="33.75" customHeight="1" x14ac:dyDescent="0.2">
      <c r="A41" s="22" t="s">
        <v>36</v>
      </c>
      <c r="B41" s="22" t="s">
        <v>43</v>
      </c>
      <c r="C41" s="22" t="s">
        <v>44</v>
      </c>
      <c r="D41" s="78">
        <f>D38+D40</f>
        <v>0</v>
      </c>
      <c r="F41" s="111">
        <f>LOOKUP(K38,K43:K50,J43:J50)</f>
        <v>1</v>
      </c>
      <c r="G41" s="111">
        <f>LOOKUP(F41,J43:J50,K43:K50)</f>
        <v>0</v>
      </c>
      <c r="J41" s="93"/>
      <c r="K41" s="93"/>
      <c r="L41" s="93"/>
    </row>
    <row r="42" spans="1:12" s="19" customFormat="1" ht="15" customHeight="1" x14ac:dyDescent="0.2">
      <c r="A42" s="41"/>
      <c r="B42" s="41"/>
      <c r="C42" s="41"/>
      <c r="D42" s="42"/>
      <c r="F42" s="43"/>
      <c r="G42" s="43"/>
      <c r="H42" s="18"/>
      <c r="I42" s="44"/>
      <c r="J42" s="95" t="s">
        <v>104</v>
      </c>
      <c r="K42" s="95" t="s">
        <v>105</v>
      </c>
      <c r="L42" s="95" t="s">
        <v>106</v>
      </c>
    </row>
    <row r="43" spans="1:12" s="12" customFormat="1" ht="15.75" x14ac:dyDescent="0.25">
      <c r="A43" s="332" t="s">
        <v>52</v>
      </c>
      <c r="B43" s="332"/>
      <c r="C43" s="332"/>
      <c r="D43" s="332"/>
      <c r="E43" s="332"/>
      <c r="F43" s="100">
        <f>'TABELLA ONERI 2025'!C34</f>
        <v>314.10727029824562</v>
      </c>
      <c r="G43" s="47"/>
      <c r="J43" s="96">
        <v>1</v>
      </c>
      <c r="K43" s="97">
        <f>J43*5-5</f>
        <v>0</v>
      </c>
      <c r="L43" s="96">
        <v>5</v>
      </c>
    </row>
    <row r="44" spans="1:12" s="12" customFormat="1" ht="11.25" customHeight="1" x14ac:dyDescent="0.25">
      <c r="A44" s="14"/>
      <c r="B44" s="14"/>
      <c r="C44" s="14"/>
      <c r="D44" s="14"/>
      <c r="E44" s="14"/>
      <c r="F44" s="39"/>
      <c r="G44" s="39"/>
      <c r="J44" s="96">
        <v>2</v>
      </c>
      <c r="K44" s="97">
        <f t="shared" ref="K44:K50" si="1">J44*5-5</f>
        <v>5</v>
      </c>
      <c r="L44" s="96">
        <v>10</v>
      </c>
    </row>
    <row r="45" spans="1:12" s="12" customFormat="1" ht="24.75" customHeight="1" x14ac:dyDescent="0.25">
      <c r="A45" s="333" t="s">
        <v>53</v>
      </c>
      <c r="B45" s="333"/>
      <c r="C45" s="333"/>
      <c r="D45" s="13"/>
      <c r="E45" s="13"/>
      <c r="F45" s="79">
        <f>F43*(1+(G41/100))</f>
        <v>314.10727029824562</v>
      </c>
      <c r="J45" s="96">
        <v>3</v>
      </c>
      <c r="K45" s="97">
        <f t="shared" si="1"/>
        <v>10</v>
      </c>
      <c r="L45" s="96">
        <v>15</v>
      </c>
    </row>
    <row r="46" spans="1:12" ht="10.5" customHeight="1" x14ac:dyDescent="0.2">
      <c r="J46" s="98">
        <v>4</v>
      </c>
      <c r="K46" s="97">
        <f t="shared" si="1"/>
        <v>15</v>
      </c>
      <c r="L46" s="98">
        <f t="shared" ref="L46:L50" si="2">J46*5</f>
        <v>20</v>
      </c>
    </row>
    <row r="47" spans="1:12" s="12" customFormat="1" ht="23.25" customHeight="1" x14ac:dyDescent="0.25">
      <c r="A47" s="332" t="s">
        <v>57</v>
      </c>
      <c r="B47" s="332"/>
      <c r="C47" s="332"/>
      <c r="D47" s="332"/>
      <c r="E47" s="332"/>
      <c r="F47" s="80">
        <f>(D32+D41)*F45</f>
        <v>0</v>
      </c>
      <c r="G47" s="75"/>
      <c r="J47" s="96">
        <v>5</v>
      </c>
      <c r="K47" s="97">
        <f t="shared" si="1"/>
        <v>20</v>
      </c>
      <c r="L47" s="98">
        <f t="shared" si="2"/>
        <v>25</v>
      </c>
    </row>
    <row r="48" spans="1:12" s="12" customFormat="1" ht="10.5" customHeight="1" x14ac:dyDescent="0.2">
      <c r="A48" s="14"/>
      <c r="B48" s="14"/>
      <c r="C48" s="14"/>
      <c r="D48" s="14"/>
      <c r="E48" s="14"/>
      <c r="F48" s="16"/>
      <c r="G48" s="16"/>
      <c r="J48" s="96">
        <v>6</v>
      </c>
      <c r="K48" s="97">
        <f t="shared" si="1"/>
        <v>25</v>
      </c>
      <c r="L48" s="98">
        <f t="shared" si="2"/>
        <v>30</v>
      </c>
    </row>
    <row r="49" spans="7:12" ht="15" x14ac:dyDescent="0.2">
      <c r="J49" s="98">
        <v>7</v>
      </c>
      <c r="K49" s="97">
        <f t="shared" si="1"/>
        <v>30</v>
      </c>
      <c r="L49" s="98">
        <f t="shared" si="2"/>
        <v>35</v>
      </c>
    </row>
    <row r="50" spans="7:12" ht="15" x14ac:dyDescent="0.2">
      <c r="G50" s="74"/>
      <c r="J50" s="99">
        <v>9</v>
      </c>
      <c r="K50" s="97">
        <f t="shared" si="1"/>
        <v>40</v>
      </c>
      <c r="L50" s="98">
        <f t="shared" si="2"/>
        <v>45</v>
      </c>
    </row>
  </sheetData>
  <sheetProtection sheet="1" objects="1" scenarios="1" selectLockedCells="1"/>
  <mergeCells count="27">
    <mergeCell ref="F27:H27"/>
    <mergeCell ref="A28:B28"/>
    <mergeCell ref="A47:E47"/>
    <mergeCell ref="A16:C16"/>
    <mergeCell ref="D13:E13"/>
    <mergeCell ref="A13:B13"/>
    <mergeCell ref="A45:C45"/>
    <mergeCell ref="A43:E43"/>
    <mergeCell ref="A37:B37"/>
    <mergeCell ref="A36:D36"/>
    <mergeCell ref="A27:D27"/>
    <mergeCell ref="F17:H18"/>
    <mergeCell ref="A17:B17"/>
    <mergeCell ref="A18:B18"/>
    <mergeCell ref="D10:E10"/>
    <mergeCell ref="D11:E11"/>
    <mergeCell ref="D12:E12"/>
    <mergeCell ref="A10:B10"/>
    <mergeCell ref="A11:B11"/>
    <mergeCell ref="A12:B12"/>
    <mergeCell ref="A1:I1"/>
    <mergeCell ref="A2:I2"/>
    <mergeCell ref="A7:B7"/>
    <mergeCell ref="A4:I4"/>
    <mergeCell ref="D9:E9"/>
    <mergeCell ref="D7:E7"/>
    <mergeCell ref="A9:B9"/>
  </mergeCells>
  <phoneticPr fontId="22" type="noConversion"/>
  <printOptions horizontalCentered="1"/>
  <pageMargins left="0.78740157480314965" right="0.39370078740157483" top="0.78740157480314965" bottom="0.59055118110236227" header="0.51181102362204722" footer="0.51181102362204722"/>
  <pageSetup paperSize="9" scale="72" orientation="portrait" r:id="rId1"/>
  <headerFooter alignWithMargins="0">
    <oddHeader>&amp;LComune di Lastra a Signa</oddHeader>
    <oddFooter>&amp;LDeterminazione del costo di costruzione - anno 2025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1037" r:id="rId4">
          <objectPr defaultSize="0" autoPict="0" r:id="rId5">
            <anchor moveWithCells="1">
              <from>
                <xdr:col>2</xdr:col>
                <xdr:colOff>304800</xdr:colOff>
                <xdr:row>23</xdr:row>
                <xdr:rowOff>28575</xdr:rowOff>
              </from>
              <to>
                <xdr:col>2</xdr:col>
                <xdr:colOff>1085850</xdr:colOff>
                <xdr:row>24</xdr:row>
                <xdr:rowOff>133350</xdr:rowOff>
              </to>
            </anchor>
          </objectPr>
        </oleObject>
      </mc:Choice>
      <mc:Fallback>
        <oleObject progId="Equation.3" shapeId="1037" r:id="rId4"/>
      </mc:Fallback>
    </mc:AlternateContent>
    <mc:AlternateContent xmlns:mc="http://schemas.openxmlformats.org/markup-compatibility/2006">
      <mc:Choice Requires="x14">
        <oleObject progId="Equation.3" shapeId="1038" r:id="rId6">
          <objectPr defaultSize="0" autoPict="0" r:id="rId7">
            <anchor moveWithCells="1">
              <from>
                <xdr:col>5</xdr:col>
                <xdr:colOff>152400</xdr:colOff>
                <xdr:row>18</xdr:row>
                <xdr:rowOff>285750</xdr:rowOff>
              </from>
              <to>
                <xdr:col>5</xdr:col>
                <xdr:colOff>952500</xdr:colOff>
                <xdr:row>19</xdr:row>
                <xdr:rowOff>0</xdr:rowOff>
              </to>
            </anchor>
          </objectPr>
        </oleObject>
      </mc:Choice>
      <mc:Fallback>
        <oleObject progId="Equation.3" shapeId="1038" r:id="rId6"/>
      </mc:Fallback>
    </mc:AlternateContent>
    <mc:AlternateContent xmlns:mc="http://schemas.openxmlformats.org/markup-compatibility/2006">
      <mc:Choice Requires="x14">
        <oleObject progId="Equation.3" shapeId="1074" r:id="rId8">
          <objectPr defaultSize="0" r:id="rId9">
            <anchor moveWithCells="1">
              <from>
                <xdr:col>3</xdr:col>
                <xdr:colOff>123825</xdr:colOff>
                <xdr:row>44</xdr:row>
                <xdr:rowOff>0</xdr:rowOff>
              </from>
              <to>
                <xdr:col>4</xdr:col>
                <xdr:colOff>571500</xdr:colOff>
                <xdr:row>46</xdr:row>
                <xdr:rowOff>114300</xdr:rowOff>
              </to>
            </anchor>
          </objectPr>
        </oleObject>
      </mc:Choice>
      <mc:Fallback>
        <oleObject progId="Equation.3" shapeId="1074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1:L26"/>
  <sheetViews>
    <sheetView zoomScale="96" zoomScaleNormal="96" workbookViewId="0">
      <selection activeCell="K25" sqref="K25"/>
    </sheetView>
  </sheetViews>
  <sheetFormatPr defaultColWidth="9.140625" defaultRowHeight="14.25" x14ac:dyDescent="0.2"/>
  <cols>
    <col min="1" max="1" width="3.140625" style="50" customWidth="1"/>
    <col min="2" max="2" width="24.140625" style="50" customWidth="1"/>
    <col min="3" max="3" width="11" style="50" customWidth="1"/>
    <col min="4" max="4" width="12.5703125" style="50" customWidth="1"/>
    <col min="5" max="5" width="12" style="50" customWidth="1"/>
    <col min="6" max="7" width="6.85546875" style="50" customWidth="1"/>
    <col min="8" max="8" width="18" style="50" customWidth="1"/>
    <col min="9" max="9" width="18.28515625" style="50" customWidth="1"/>
    <col min="10" max="10" width="19.5703125" style="50" customWidth="1"/>
    <col min="11" max="12" width="15.85546875" style="50" customWidth="1"/>
    <col min="13" max="16384" width="9.140625" style="50"/>
  </cols>
  <sheetData>
    <row r="1" spans="1:12" ht="20.25" x14ac:dyDescent="0.3">
      <c r="A1" s="352" t="s">
        <v>156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</row>
    <row r="2" spans="1:12" ht="36.75" customHeight="1" x14ac:dyDescent="0.2">
      <c r="A2" s="321" t="s">
        <v>177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</row>
    <row r="3" spans="1:12" ht="15" thickBot="1" x14ac:dyDescent="0.25"/>
    <row r="4" spans="1:12" ht="15.75" x14ac:dyDescent="0.25">
      <c r="A4" s="81" t="s">
        <v>215</v>
      </c>
      <c r="B4" s="82"/>
      <c r="C4" s="82"/>
      <c r="D4" s="82"/>
      <c r="E4" s="82"/>
      <c r="F4" s="82"/>
      <c r="G4" s="82"/>
      <c r="H4" s="82"/>
      <c r="I4" s="346"/>
      <c r="J4" s="346"/>
      <c r="K4" s="346"/>
      <c r="L4" s="347"/>
    </row>
    <row r="5" spans="1:12" ht="57" x14ac:dyDescent="0.2">
      <c r="A5" s="366" t="s">
        <v>59</v>
      </c>
      <c r="B5" s="367"/>
      <c r="C5" s="49" t="s">
        <v>60</v>
      </c>
      <c r="D5" s="49" t="s">
        <v>61</v>
      </c>
      <c r="E5" s="49" t="s">
        <v>62</v>
      </c>
      <c r="F5" s="49" t="s">
        <v>107</v>
      </c>
      <c r="G5" s="49" t="s">
        <v>108</v>
      </c>
      <c r="H5" s="49" t="s">
        <v>63</v>
      </c>
      <c r="I5" s="49" t="s">
        <v>109</v>
      </c>
      <c r="J5" s="49" t="s">
        <v>110</v>
      </c>
      <c r="K5" s="49" t="s">
        <v>111</v>
      </c>
      <c r="L5" s="54" t="s">
        <v>112</v>
      </c>
    </row>
    <row r="6" spans="1:12" x14ac:dyDescent="0.2">
      <c r="A6" s="59" t="s">
        <v>65</v>
      </c>
      <c r="B6" s="101" t="s">
        <v>66</v>
      </c>
      <c r="C6" s="351">
        <f>'COSTO DI COST.'!C9</f>
        <v>0</v>
      </c>
      <c r="D6" s="350">
        <f>'COSTO DI COST.'!D9:E9</f>
        <v>0</v>
      </c>
      <c r="E6" s="350">
        <f>IF(D17&gt;0,D6/D17,)</f>
        <v>0</v>
      </c>
      <c r="F6" s="353">
        <v>0.06</v>
      </c>
      <c r="G6" s="353">
        <v>0.08</v>
      </c>
      <c r="H6" s="348">
        <f>'COSTO DI COST.'!F47</f>
        <v>0</v>
      </c>
      <c r="I6" s="348">
        <f>H6*F6</f>
        <v>0</v>
      </c>
      <c r="J6" s="348">
        <f>I6*E6</f>
        <v>0</v>
      </c>
      <c r="K6" s="348">
        <f>H6*G6</f>
        <v>0</v>
      </c>
      <c r="L6" s="349">
        <f>K6*E6</f>
        <v>0</v>
      </c>
    </row>
    <row r="7" spans="1:12" x14ac:dyDescent="0.2">
      <c r="A7" s="59"/>
      <c r="B7" s="101" t="s">
        <v>69</v>
      </c>
      <c r="C7" s="351"/>
      <c r="D7" s="350"/>
      <c r="E7" s="350"/>
      <c r="F7" s="354"/>
      <c r="G7" s="354"/>
      <c r="H7" s="348"/>
      <c r="I7" s="348"/>
      <c r="J7" s="348"/>
      <c r="K7" s="348"/>
      <c r="L7" s="349"/>
    </row>
    <row r="8" spans="1:12" x14ac:dyDescent="0.2">
      <c r="A8" s="59" t="s">
        <v>67</v>
      </c>
      <c r="B8" s="101" t="s">
        <v>68</v>
      </c>
      <c r="C8" s="351">
        <f>'COSTO DI COST.'!C10</f>
        <v>0</v>
      </c>
      <c r="D8" s="350">
        <f>'COSTO DI COST.'!D10:E10</f>
        <v>0</v>
      </c>
      <c r="E8" s="350">
        <f>IF(D17&gt;0,D8/D17,)</f>
        <v>0</v>
      </c>
      <c r="F8" s="353">
        <v>0.06</v>
      </c>
      <c r="G8" s="353">
        <v>0.08</v>
      </c>
      <c r="H8" s="348">
        <f>'COSTO DI COST.'!F47</f>
        <v>0</v>
      </c>
      <c r="I8" s="348">
        <f>H8*F8</f>
        <v>0</v>
      </c>
      <c r="J8" s="348">
        <f>I8*E8</f>
        <v>0</v>
      </c>
      <c r="K8" s="348">
        <f>H8*G8</f>
        <v>0</v>
      </c>
      <c r="L8" s="349">
        <f>K8*E8</f>
        <v>0</v>
      </c>
    </row>
    <row r="9" spans="1:12" x14ac:dyDescent="0.2">
      <c r="A9" s="59"/>
      <c r="B9" s="101" t="s">
        <v>64</v>
      </c>
      <c r="C9" s="351"/>
      <c r="D9" s="350"/>
      <c r="E9" s="350"/>
      <c r="F9" s="354"/>
      <c r="G9" s="354"/>
      <c r="H9" s="348"/>
      <c r="I9" s="348"/>
      <c r="J9" s="348"/>
      <c r="K9" s="348"/>
      <c r="L9" s="349"/>
    </row>
    <row r="10" spans="1:12" x14ac:dyDescent="0.2">
      <c r="A10" s="59" t="s">
        <v>70</v>
      </c>
      <c r="B10" s="101" t="s">
        <v>73</v>
      </c>
      <c r="C10" s="351">
        <f>'COSTO DI COST.'!C11</f>
        <v>0</v>
      </c>
      <c r="D10" s="350">
        <f>'COSTO DI COST.'!D11:E11</f>
        <v>0</v>
      </c>
      <c r="E10" s="350">
        <f>IF(D17&gt;0,D10/D17,)</f>
        <v>0</v>
      </c>
      <c r="F10" s="353">
        <v>7.0000000000000007E-2</v>
      </c>
      <c r="G10" s="353">
        <v>0.08</v>
      </c>
      <c r="H10" s="348">
        <f>'COSTO DI COST.'!F47</f>
        <v>0</v>
      </c>
      <c r="I10" s="348">
        <f>H10*F10</f>
        <v>0</v>
      </c>
      <c r="J10" s="348">
        <f>I10*E10</f>
        <v>0</v>
      </c>
      <c r="K10" s="348">
        <f>H10*G10</f>
        <v>0</v>
      </c>
      <c r="L10" s="349">
        <f>K10*E10</f>
        <v>0</v>
      </c>
    </row>
    <row r="11" spans="1:12" x14ac:dyDescent="0.2">
      <c r="A11" s="59"/>
      <c r="B11" s="101" t="s">
        <v>74</v>
      </c>
      <c r="C11" s="351"/>
      <c r="D11" s="350"/>
      <c r="E11" s="350"/>
      <c r="F11" s="354"/>
      <c r="G11" s="354"/>
      <c r="H11" s="348"/>
      <c r="I11" s="348"/>
      <c r="J11" s="348"/>
      <c r="K11" s="348"/>
      <c r="L11" s="349"/>
    </row>
    <row r="12" spans="1:12" x14ac:dyDescent="0.2">
      <c r="A12" s="59" t="s">
        <v>71</v>
      </c>
      <c r="B12" s="101" t="s">
        <v>75</v>
      </c>
      <c r="C12" s="351">
        <f>'COSTO DI COST.'!C12</f>
        <v>0</v>
      </c>
      <c r="D12" s="350">
        <f>'COSTO DI COST.'!D12:E12</f>
        <v>0</v>
      </c>
      <c r="E12" s="350">
        <f>IF(D17&gt;0,D12/D17,)</f>
        <v>0</v>
      </c>
      <c r="F12" s="353">
        <v>7.0000000000000007E-2</v>
      </c>
      <c r="G12" s="353">
        <v>0.08</v>
      </c>
      <c r="H12" s="348">
        <f>'COSTO DI COST.'!F47</f>
        <v>0</v>
      </c>
      <c r="I12" s="348">
        <f>H12*F12</f>
        <v>0</v>
      </c>
      <c r="J12" s="348">
        <f>I12*E12</f>
        <v>0</v>
      </c>
      <c r="K12" s="348">
        <f>H12*G12</f>
        <v>0</v>
      </c>
      <c r="L12" s="349">
        <f>K12*E12</f>
        <v>0</v>
      </c>
    </row>
    <row r="13" spans="1:12" x14ac:dyDescent="0.2">
      <c r="A13" s="59"/>
      <c r="B13" s="101" t="s">
        <v>76</v>
      </c>
      <c r="C13" s="351"/>
      <c r="D13" s="350"/>
      <c r="E13" s="350"/>
      <c r="F13" s="354"/>
      <c r="G13" s="354"/>
      <c r="H13" s="348"/>
      <c r="I13" s="348"/>
      <c r="J13" s="348"/>
      <c r="K13" s="348"/>
      <c r="L13" s="349"/>
    </row>
    <row r="14" spans="1:12" x14ac:dyDescent="0.2">
      <c r="A14" s="59" t="s">
        <v>72</v>
      </c>
      <c r="B14" s="101" t="s">
        <v>77</v>
      </c>
      <c r="C14" s="351">
        <f>'COSTO DI COST.'!C13</f>
        <v>0</v>
      </c>
      <c r="D14" s="350">
        <f>'COSTO DI COST.'!D13:E13</f>
        <v>0</v>
      </c>
      <c r="E14" s="350">
        <f>IF(D17&gt;0,D14/D17,)</f>
        <v>0</v>
      </c>
      <c r="F14" s="353">
        <v>0.08</v>
      </c>
      <c r="G14" s="353">
        <v>0.08</v>
      </c>
      <c r="H14" s="348">
        <f>'COSTO DI COST.'!F47</f>
        <v>0</v>
      </c>
      <c r="I14" s="348">
        <f>H14*F14</f>
        <v>0</v>
      </c>
      <c r="J14" s="348">
        <f>I14*E14</f>
        <v>0</v>
      </c>
      <c r="K14" s="348">
        <f>H14*G14</f>
        <v>0</v>
      </c>
      <c r="L14" s="349">
        <f>K14*E14</f>
        <v>0</v>
      </c>
    </row>
    <row r="15" spans="1:12" x14ac:dyDescent="0.2">
      <c r="A15" s="59"/>
      <c r="B15" s="101" t="s">
        <v>78</v>
      </c>
      <c r="C15" s="351"/>
      <c r="D15" s="350"/>
      <c r="E15" s="350"/>
      <c r="F15" s="354"/>
      <c r="G15" s="354"/>
      <c r="H15" s="348"/>
      <c r="I15" s="348"/>
      <c r="J15" s="348"/>
      <c r="K15" s="348"/>
      <c r="L15" s="349"/>
    </row>
    <row r="16" spans="1:12" ht="25.5" customHeight="1" x14ac:dyDescent="0.2">
      <c r="A16" s="104" t="s">
        <v>79</v>
      </c>
      <c r="B16" s="102" t="s">
        <v>80</v>
      </c>
      <c r="C16" s="83">
        <f>'COSTO DI COST.'!C13</f>
        <v>0</v>
      </c>
      <c r="D16" s="73">
        <f>'COSTO DI COST.'!D13:E13</f>
        <v>0</v>
      </c>
      <c r="E16" s="73">
        <f>IF(D17&gt;0,D16/D17,)</f>
        <v>0</v>
      </c>
      <c r="F16" s="51">
        <v>0.1</v>
      </c>
      <c r="G16" s="51">
        <v>0.1</v>
      </c>
      <c r="H16" s="71">
        <f>'COSTO DI COST.'!F47</f>
        <v>0</v>
      </c>
      <c r="I16" s="71">
        <f>H16*F16</f>
        <v>0</v>
      </c>
      <c r="J16" s="71">
        <f>I16*E16</f>
        <v>0</v>
      </c>
      <c r="K16" s="71">
        <f>H16*G16</f>
        <v>0</v>
      </c>
      <c r="L16" s="72">
        <f>K16*E16</f>
        <v>0</v>
      </c>
    </row>
    <row r="17" spans="1:12" ht="19.5" customHeight="1" x14ac:dyDescent="0.25">
      <c r="A17" s="59"/>
      <c r="B17" s="58"/>
      <c r="C17" s="103" t="s">
        <v>81</v>
      </c>
      <c r="D17" s="73">
        <f>'COSTO DI COST.'!E14</f>
        <v>0</v>
      </c>
      <c r="E17" s="73"/>
      <c r="F17" s="73"/>
      <c r="G17" s="73"/>
      <c r="H17" s="58"/>
      <c r="I17" s="103" t="s">
        <v>81</v>
      </c>
      <c r="J17" s="105">
        <f>SUM(J6:J16)</f>
        <v>0</v>
      </c>
      <c r="K17" s="103" t="s">
        <v>81</v>
      </c>
      <c r="L17" s="106">
        <f>SUM(L6:L16)</f>
        <v>0</v>
      </c>
    </row>
    <row r="18" spans="1:12" ht="41.25" customHeight="1" thickBot="1" x14ac:dyDescent="0.25">
      <c r="A18" s="343" t="s">
        <v>102</v>
      </c>
      <c r="B18" s="344"/>
      <c r="C18" s="344"/>
      <c r="D18" s="344"/>
      <c r="E18" s="344"/>
      <c r="F18" s="344"/>
      <c r="G18" s="344"/>
      <c r="H18" s="344"/>
      <c r="I18" s="344"/>
      <c r="J18" s="344"/>
      <c r="K18" s="344"/>
      <c r="L18" s="345"/>
    </row>
    <row r="19" spans="1:12" ht="15" thickBot="1" x14ac:dyDescent="0.25"/>
    <row r="20" spans="1:12" ht="15.75" x14ac:dyDescent="0.25">
      <c r="A20" s="356" t="s">
        <v>83</v>
      </c>
      <c r="B20" s="357"/>
      <c r="C20" s="357"/>
      <c r="D20" s="357"/>
      <c r="E20" s="357"/>
      <c r="F20" s="357"/>
      <c r="G20" s="357"/>
      <c r="H20" s="357"/>
      <c r="I20" s="357"/>
      <c r="J20" s="357"/>
      <c r="K20" s="108"/>
    </row>
    <row r="21" spans="1:12" x14ac:dyDescent="0.2">
      <c r="A21" s="59"/>
      <c r="B21" s="359" t="s">
        <v>103</v>
      </c>
      <c r="C21" s="360"/>
      <c r="D21" s="360"/>
      <c r="E21" s="360"/>
      <c r="F21" s="360"/>
      <c r="G21" s="360"/>
      <c r="H21" s="360"/>
      <c r="I21" s="361"/>
      <c r="J21" s="58"/>
      <c r="K21" s="60">
        <v>0.6</v>
      </c>
    </row>
    <row r="22" spans="1:12" ht="15" thickBot="1" x14ac:dyDescent="0.25">
      <c r="A22" s="61"/>
      <c r="B22" s="364" t="s">
        <v>82</v>
      </c>
      <c r="C22" s="364"/>
      <c r="D22" s="364"/>
      <c r="E22" s="364"/>
      <c r="F22" s="364"/>
      <c r="G22" s="364"/>
      <c r="H22" s="364"/>
      <c r="I22" s="365"/>
      <c r="J22" s="65"/>
      <c r="K22" s="62">
        <v>1</v>
      </c>
    </row>
    <row r="23" spans="1:12" ht="15" thickBot="1" x14ac:dyDescent="0.25">
      <c r="A23" s="52"/>
      <c r="B23" s="52"/>
      <c r="C23" s="52"/>
      <c r="D23" s="52"/>
      <c r="E23" s="52"/>
      <c r="F23" s="52"/>
      <c r="G23" s="52"/>
      <c r="H23" s="52"/>
      <c r="I23" s="52"/>
      <c r="J23" s="52"/>
    </row>
    <row r="24" spans="1:12" ht="15.75" x14ac:dyDescent="0.25">
      <c r="A24" s="356" t="s">
        <v>84</v>
      </c>
      <c r="B24" s="358"/>
      <c r="C24" s="358"/>
      <c r="D24" s="358"/>
      <c r="E24" s="358"/>
      <c r="F24" s="358"/>
      <c r="G24" s="358"/>
      <c r="H24" s="358"/>
      <c r="I24" s="358"/>
      <c r="J24" s="358"/>
      <c r="K24" s="108"/>
    </row>
    <row r="25" spans="1:12" ht="15.75" x14ac:dyDescent="0.2">
      <c r="A25" s="59"/>
      <c r="B25" s="362" t="s">
        <v>216</v>
      </c>
      <c r="C25" s="363"/>
      <c r="D25" s="363"/>
      <c r="E25" s="363"/>
      <c r="F25" s="363"/>
      <c r="G25" s="363"/>
      <c r="H25" s="363"/>
      <c r="I25" s="363"/>
      <c r="J25" s="58"/>
      <c r="K25" s="115">
        <v>1</v>
      </c>
    </row>
    <row r="26" spans="1:12" ht="22.5" customHeight="1" thickBot="1" x14ac:dyDescent="0.25">
      <c r="A26" s="61"/>
      <c r="B26" s="355" t="s">
        <v>113</v>
      </c>
      <c r="C26" s="355"/>
      <c r="D26" s="355"/>
      <c r="E26" s="355"/>
      <c r="F26" s="355"/>
      <c r="G26" s="355"/>
      <c r="H26" s="109">
        <f>IF(K25=1,J17,L17)</f>
        <v>0</v>
      </c>
      <c r="I26" s="66" t="s">
        <v>114</v>
      </c>
      <c r="J26" s="110">
        <f>K25</f>
        <v>1</v>
      </c>
      <c r="K26" s="107">
        <f>IF(K25=1,J17*K25,L17*0.6)</f>
        <v>0</v>
      </c>
    </row>
  </sheetData>
  <sheetProtection sheet="1" objects="1" scenarios="1" selectLockedCells="1"/>
  <mergeCells count="61">
    <mergeCell ref="A2:L2"/>
    <mergeCell ref="A5:B5"/>
    <mergeCell ref="C6:C7"/>
    <mergeCell ref="C8:C9"/>
    <mergeCell ref="C10:C11"/>
    <mergeCell ref="J6:J7"/>
    <mergeCell ref="J8:J9"/>
    <mergeCell ref="J10:J11"/>
    <mergeCell ref="H6:H7"/>
    <mergeCell ref="H8:H9"/>
    <mergeCell ref="H10:H11"/>
    <mergeCell ref="H12:H13"/>
    <mergeCell ref="D6:D7"/>
    <mergeCell ref="D8:D9"/>
    <mergeCell ref="D10:D11"/>
    <mergeCell ref="D12:D13"/>
    <mergeCell ref="G6:G7"/>
    <mergeCell ref="E6:E7"/>
    <mergeCell ref="E8:E9"/>
    <mergeCell ref="E10:E11"/>
    <mergeCell ref="G8:G9"/>
    <mergeCell ref="G10:G11"/>
    <mergeCell ref="G12:G13"/>
    <mergeCell ref="B26:G26"/>
    <mergeCell ref="A20:J20"/>
    <mergeCell ref="A24:J24"/>
    <mergeCell ref="B21:I21"/>
    <mergeCell ref="B25:I25"/>
    <mergeCell ref="B22:I22"/>
    <mergeCell ref="A1:L1"/>
    <mergeCell ref="L12:L13"/>
    <mergeCell ref="L14:L15"/>
    <mergeCell ref="J14:J15"/>
    <mergeCell ref="I12:I13"/>
    <mergeCell ref="I14:I15"/>
    <mergeCell ref="J12:J13"/>
    <mergeCell ref="F14:F15"/>
    <mergeCell ref="H14:H15"/>
    <mergeCell ref="F12:F13"/>
    <mergeCell ref="G14:G15"/>
    <mergeCell ref="E12:E13"/>
    <mergeCell ref="F6:F7"/>
    <mergeCell ref="F8:F9"/>
    <mergeCell ref="F10:F11"/>
    <mergeCell ref="C12:C13"/>
    <mergeCell ref="A18:L18"/>
    <mergeCell ref="I4:L4"/>
    <mergeCell ref="K6:K7"/>
    <mergeCell ref="K8:K9"/>
    <mergeCell ref="K10:K11"/>
    <mergeCell ref="L6:L7"/>
    <mergeCell ref="L8:L9"/>
    <mergeCell ref="K12:K13"/>
    <mergeCell ref="K14:K15"/>
    <mergeCell ref="L10:L11"/>
    <mergeCell ref="I6:I7"/>
    <mergeCell ref="I8:I9"/>
    <mergeCell ref="I10:I11"/>
    <mergeCell ref="D14:D15"/>
    <mergeCell ref="E14:E15"/>
    <mergeCell ref="C14:C15"/>
  </mergeCells>
  <phoneticPr fontId="22" type="noConversion"/>
  <pageMargins left="0.74803149606299213" right="0.74803149606299213" top="0.98425196850393704" bottom="0.98425196850393704" header="0.51181102362204722" footer="0.51181102362204722"/>
  <pageSetup paperSize="9" scale="79" orientation="landscape" horizontalDpi="4294967292" r:id="rId1"/>
  <headerFooter alignWithMargins="0">
    <oddHeader>&amp;LComune di Lastra a Signa</oddHeader>
    <oddFooter>&amp;LDeterminazione del contributo commisurato al costo di costruzione</oddFooter>
  </headerFooter>
  <cellWatches>
    <cellWatch r="K25"/>
    <cellWatch r="K26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zoomScaleNormal="100" workbookViewId="0">
      <selection activeCell="C8" sqref="C8"/>
    </sheetView>
  </sheetViews>
  <sheetFormatPr defaultRowHeight="12.75" x14ac:dyDescent="0.2"/>
  <cols>
    <col min="1" max="1" width="9.140625" style="213"/>
    <col min="2" max="2" width="36.42578125" style="213" customWidth="1"/>
    <col min="3" max="8" width="12.42578125" style="213" customWidth="1"/>
    <col min="9" max="16384" width="9.140625" style="213"/>
  </cols>
  <sheetData>
    <row r="1" spans="1:14" ht="28.5" x14ac:dyDescent="0.45">
      <c r="A1" s="373" t="s">
        <v>187</v>
      </c>
      <c r="B1" s="373"/>
      <c r="C1" s="373"/>
      <c r="D1" s="373"/>
      <c r="E1" s="373"/>
      <c r="F1" s="373"/>
      <c r="G1" s="373"/>
    </row>
    <row r="2" spans="1:14" ht="28.5" customHeight="1" x14ac:dyDescent="0.2">
      <c r="A2" s="374" t="s">
        <v>188</v>
      </c>
      <c r="B2" s="374"/>
      <c r="C2" s="374"/>
      <c r="D2" s="374"/>
      <c r="E2" s="374"/>
      <c r="F2" s="374"/>
      <c r="G2" s="374"/>
    </row>
    <row r="3" spans="1:14" ht="13.5" thickBot="1" x14ac:dyDescent="0.25">
      <c r="A3" s="217"/>
      <c r="B3" s="217"/>
      <c r="C3" s="217"/>
      <c r="D3" s="217"/>
      <c r="E3" s="217"/>
      <c r="F3" s="217"/>
      <c r="G3" s="217"/>
    </row>
    <row r="4" spans="1:14" ht="21" x14ac:dyDescent="0.35">
      <c r="A4" s="370" t="s">
        <v>186</v>
      </c>
      <c r="B4" s="371"/>
      <c r="C4" s="371"/>
      <c r="D4" s="371"/>
      <c r="E4" s="371"/>
      <c r="F4" s="371"/>
      <c r="G4" s="372"/>
    </row>
    <row r="5" spans="1:14" x14ac:dyDescent="0.2">
      <c r="A5" s="225"/>
      <c r="B5" s="218"/>
      <c r="C5" s="218"/>
      <c r="D5" s="218"/>
      <c r="E5" s="218"/>
      <c r="F5" s="218"/>
      <c r="G5" s="226"/>
    </row>
    <row r="6" spans="1:14" ht="54.75" customHeight="1" x14ac:dyDescent="0.2">
      <c r="A6" s="225"/>
      <c r="B6" s="218"/>
      <c r="C6" s="235" t="s">
        <v>115</v>
      </c>
      <c r="D6" s="235" t="s">
        <v>116</v>
      </c>
      <c r="E6" s="235" t="s">
        <v>139</v>
      </c>
      <c r="F6" s="235" t="s">
        <v>159</v>
      </c>
      <c r="G6" s="247" t="s">
        <v>117</v>
      </c>
      <c r="H6" s="214"/>
    </row>
    <row r="7" spans="1:14" ht="14.25" customHeight="1" x14ac:dyDescent="0.2">
      <c r="A7" s="225"/>
      <c r="B7" s="218"/>
      <c r="C7" s="219" t="s">
        <v>182</v>
      </c>
      <c r="D7" s="219" t="s">
        <v>183</v>
      </c>
      <c r="E7" s="219" t="s">
        <v>184</v>
      </c>
      <c r="F7" s="219" t="s">
        <v>182</v>
      </c>
      <c r="G7" s="227" t="s">
        <v>185</v>
      </c>
      <c r="H7" s="214"/>
    </row>
    <row r="8" spans="1:14" ht="32.25" customHeight="1" x14ac:dyDescent="0.25">
      <c r="A8" s="375" t="s">
        <v>178</v>
      </c>
      <c r="B8" s="240" t="s">
        <v>210</v>
      </c>
      <c r="C8" s="237"/>
      <c r="D8" s="237"/>
      <c r="E8" s="237"/>
      <c r="F8" s="237"/>
      <c r="G8" s="248"/>
      <c r="J8" s="215"/>
      <c r="K8" s="215"/>
      <c r="L8" s="215"/>
      <c r="M8" s="215"/>
      <c r="N8" s="215"/>
    </row>
    <row r="9" spans="1:14" ht="18" hidden="1" customHeight="1" x14ac:dyDescent="0.25">
      <c r="A9" s="376"/>
      <c r="B9" s="240"/>
      <c r="C9" s="238">
        <f>'TABELLA ONERI 2025'!C4</f>
        <v>6.71610452976606</v>
      </c>
      <c r="D9" s="238">
        <f>'TABELLA ONERI 2025'!E4</f>
        <v>10.215054092476349</v>
      </c>
      <c r="E9" s="238">
        <f>'TABELLA ONERI 2025'!G4</f>
        <v>11.717958602633789</v>
      </c>
      <c r="F9" s="238">
        <f>'TABELLA ONERI 2025'!I4</f>
        <v>10.438141480702845</v>
      </c>
      <c r="G9" s="249">
        <f>'TABELLA ONERI 2025'!K4</f>
        <v>18.070078446346091</v>
      </c>
      <c r="J9" s="215"/>
      <c r="K9" s="215"/>
      <c r="L9" s="215"/>
      <c r="M9" s="215"/>
      <c r="N9" s="215"/>
    </row>
    <row r="10" spans="1:14" ht="18" hidden="1" customHeight="1" x14ac:dyDescent="0.25">
      <c r="A10" s="376"/>
      <c r="B10" s="240"/>
      <c r="C10" s="238">
        <f>'TABELLA ONERI 2025'!C5</f>
        <v>17.576937903950686</v>
      </c>
      <c r="D10" s="238">
        <f>'TABELLA ONERI 2025'!E5</f>
        <v>7.373625252959938</v>
      </c>
      <c r="E10" s="238">
        <f>'TABELLA ONERI 2025'!G5</f>
        <v>7.373625252959938</v>
      </c>
      <c r="F10" s="238">
        <f>'TABELLA ONERI 2025'!I5</f>
        <v>4.0507973125337253</v>
      </c>
      <c r="G10" s="249">
        <f>'TABELLA ONERI 2025'!K5</f>
        <v>4.8257324505836552</v>
      </c>
      <c r="J10" s="215"/>
      <c r="K10" s="215"/>
      <c r="L10" s="215"/>
      <c r="M10" s="215"/>
      <c r="N10" s="215"/>
    </row>
    <row r="11" spans="1:14" ht="18" hidden="1" customHeight="1" x14ac:dyDescent="0.25">
      <c r="A11" s="376"/>
      <c r="B11" s="240"/>
      <c r="C11" s="239">
        <f t="shared" ref="C11:G12" si="0">C$8*C9</f>
        <v>0</v>
      </c>
      <c r="D11" s="239">
        <f t="shared" si="0"/>
        <v>0</v>
      </c>
      <c r="E11" s="239">
        <f t="shared" si="0"/>
        <v>0</v>
      </c>
      <c r="F11" s="239">
        <f t="shared" si="0"/>
        <v>0</v>
      </c>
      <c r="G11" s="250">
        <f t="shared" si="0"/>
        <v>0</v>
      </c>
      <c r="J11" s="215"/>
      <c r="K11" s="215"/>
      <c r="L11" s="215"/>
      <c r="M11" s="215"/>
      <c r="N11" s="215"/>
    </row>
    <row r="12" spans="1:14" ht="18" hidden="1" customHeight="1" x14ac:dyDescent="0.25">
      <c r="A12" s="376"/>
      <c r="B12" s="240"/>
      <c r="C12" s="239">
        <f t="shared" si="0"/>
        <v>0</v>
      </c>
      <c r="D12" s="239">
        <f t="shared" si="0"/>
        <v>0</v>
      </c>
      <c r="E12" s="239">
        <f t="shared" si="0"/>
        <v>0</v>
      </c>
      <c r="F12" s="239">
        <f t="shared" si="0"/>
        <v>0</v>
      </c>
      <c r="G12" s="250">
        <f t="shared" si="0"/>
        <v>0</v>
      </c>
      <c r="J12" s="215"/>
      <c r="K12" s="215"/>
      <c r="L12" s="215"/>
      <c r="M12" s="215"/>
      <c r="N12" s="215"/>
    </row>
    <row r="13" spans="1:14" ht="32.25" customHeight="1" x14ac:dyDescent="0.25">
      <c r="A13" s="376"/>
      <c r="B13" s="240" t="s">
        <v>211</v>
      </c>
      <c r="C13" s="237"/>
      <c r="D13" s="237"/>
      <c r="E13" s="237"/>
      <c r="F13" s="237"/>
      <c r="G13" s="248"/>
    </row>
    <row r="14" spans="1:14" ht="15" hidden="1" customHeight="1" x14ac:dyDescent="0.25">
      <c r="A14" s="376"/>
      <c r="B14" s="240"/>
      <c r="C14" s="238">
        <f>'TABELLA ONERI 2025'!C7</f>
        <v>5.3658387589214858</v>
      </c>
      <c r="D14" s="238">
        <f>'TABELLA ONERI 2025'!E7</f>
        <v>8.1837847154666861</v>
      </c>
      <c r="E14" s="238">
        <f>'TABELLA ONERI 2025'!G7</f>
        <v>9.3696703055127895</v>
      </c>
      <c r="F14" s="238">
        <f>'TABELLA ONERI 2025'!I7</f>
        <v>8.3481648962651551</v>
      </c>
      <c r="G14" s="249">
        <f>'TABELLA ONERI 2025'!K7</f>
        <v>14.44197302729415</v>
      </c>
    </row>
    <row r="15" spans="1:14" ht="14.25" hidden="1" customHeight="1" x14ac:dyDescent="0.25">
      <c r="A15" s="376"/>
      <c r="B15" s="240"/>
      <c r="C15" s="238">
        <f>'TABELLA ONERI 2025'!C8</f>
        <v>14.077988341240395</v>
      </c>
      <c r="D15" s="238">
        <f>'TABELLA ONERI 2025'!E8</f>
        <v>5.8824621842881051</v>
      </c>
      <c r="E15" s="238">
        <f>'TABELLA ONERI 2025'!G8</f>
        <v>4.9400000000000004</v>
      </c>
      <c r="F15" s="238">
        <f>'TABELLA ONERI 2025'!I8</f>
        <v>3.2288964085413747</v>
      </c>
      <c r="G15" s="249">
        <f>'TABELLA ONERI 2025'!K8</f>
        <v>3.862934248764045</v>
      </c>
    </row>
    <row r="16" spans="1:14" ht="11.25" hidden="1" customHeight="1" x14ac:dyDescent="0.25">
      <c r="A16" s="376"/>
      <c r="B16" s="240"/>
      <c r="C16" s="239">
        <f t="shared" ref="C16:G17" si="1">C$13*C14</f>
        <v>0</v>
      </c>
      <c r="D16" s="239">
        <f t="shared" si="1"/>
        <v>0</v>
      </c>
      <c r="E16" s="239">
        <f t="shared" si="1"/>
        <v>0</v>
      </c>
      <c r="F16" s="239">
        <f t="shared" si="1"/>
        <v>0</v>
      </c>
      <c r="G16" s="250">
        <f t="shared" si="1"/>
        <v>0</v>
      </c>
    </row>
    <row r="17" spans="1:7" ht="11.25" hidden="1" customHeight="1" x14ac:dyDescent="0.25">
      <c r="A17" s="376"/>
      <c r="B17" s="240"/>
      <c r="C17" s="239">
        <f t="shared" si="1"/>
        <v>0</v>
      </c>
      <c r="D17" s="239">
        <f t="shared" si="1"/>
        <v>0</v>
      </c>
      <c r="E17" s="239">
        <f t="shared" si="1"/>
        <v>0</v>
      </c>
      <c r="F17" s="239">
        <f t="shared" si="1"/>
        <v>0</v>
      </c>
      <c r="G17" s="250">
        <f t="shared" si="1"/>
        <v>0</v>
      </c>
    </row>
    <row r="18" spans="1:7" ht="32.25" customHeight="1" x14ac:dyDescent="0.25">
      <c r="A18" s="376"/>
      <c r="B18" s="240" t="s">
        <v>127</v>
      </c>
      <c r="C18" s="237"/>
      <c r="D18" s="237"/>
      <c r="E18" s="237"/>
      <c r="F18" s="237"/>
      <c r="G18" s="248"/>
    </row>
    <row r="19" spans="1:7" ht="12" hidden="1" customHeight="1" x14ac:dyDescent="0.25">
      <c r="A19" s="376"/>
      <c r="B19" s="240"/>
      <c r="C19" s="238">
        <f>'TABELLA ONERI 2025'!C10</f>
        <v>20.312693770096647</v>
      </c>
      <c r="D19" s="238">
        <f>'TABELLA ONERI 2025'!E10</f>
        <v>47.411940718872991</v>
      </c>
      <c r="E19" s="238">
        <f>'TABELLA ONERI 2025'!G10</f>
        <v>31.396614532507769</v>
      </c>
      <c r="F19" s="238">
        <f>'TABELLA ONERI 2025'!I10</f>
        <v>27.827216320883849</v>
      </c>
      <c r="G19" s="249">
        <f>'TABELLA ONERI 2025'!K10</f>
        <v>36.093191126749765</v>
      </c>
    </row>
    <row r="20" spans="1:7" ht="12" hidden="1" customHeight="1" x14ac:dyDescent="0.25">
      <c r="A20" s="376"/>
      <c r="B20" s="240"/>
      <c r="C20" s="238">
        <f>'TABELLA ONERI 2025'!C11</f>
        <v>46.883575852020762</v>
      </c>
      <c r="D20" s="238">
        <f>'TABELLA ONERI 2025'!E11</f>
        <v>25.807688385359789</v>
      </c>
      <c r="E20" s="238">
        <f>'TABELLA ONERI 2025'!G11</f>
        <v>19.467309983133084</v>
      </c>
      <c r="F20" s="238">
        <f>'TABELLA ONERI 2025'!I11</f>
        <v>10.778643283785389</v>
      </c>
      <c r="G20" s="249">
        <f>'TABELLA ONERI 2025'!K11</f>
        <v>12.856878426737474</v>
      </c>
    </row>
    <row r="21" spans="1:7" ht="12.75" hidden="1" customHeight="1" x14ac:dyDescent="0.25">
      <c r="A21" s="376"/>
      <c r="B21" s="240"/>
      <c r="C21" s="239">
        <f t="shared" ref="C21:G22" si="2">C$18*C19</f>
        <v>0</v>
      </c>
      <c r="D21" s="239">
        <f t="shared" si="2"/>
        <v>0</v>
      </c>
      <c r="E21" s="239">
        <f t="shared" si="2"/>
        <v>0</v>
      </c>
      <c r="F21" s="239">
        <f t="shared" si="2"/>
        <v>0</v>
      </c>
      <c r="G21" s="250">
        <f t="shared" si="2"/>
        <v>0</v>
      </c>
    </row>
    <row r="22" spans="1:7" ht="14.25" hidden="1" customHeight="1" x14ac:dyDescent="0.25">
      <c r="A22" s="376"/>
      <c r="B22" s="240"/>
      <c r="C22" s="239">
        <f t="shared" si="2"/>
        <v>0</v>
      </c>
      <c r="D22" s="239">
        <f t="shared" si="2"/>
        <v>0</v>
      </c>
      <c r="E22" s="239">
        <f t="shared" si="2"/>
        <v>0</v>
      </c>
      <c r="F22" s="239">
        <f t="shared" si="2"/>
        <v>0</v>
      </c>
      <c r="G22" s="250">
        <f t="shared" si="2"/>
        <v>0</v>
      </c>
    </row>
    <row r="23" spans="1:7" ht="32.25" customHeight="1" x14ac:dyDescent="0.25">
      <c r="A23" s="376"/>
      <c r="B23" s="240" t="s">
        <v>212</v>
      </c>
      <c r="C23" s="237"/>
      <c r="D23" s="237"/>
      <c r="E23" s="237"/>
      <c r="F23" s="237"/>
      <c r="G23" s="248"/>
    </row>
    <row r="24" spans="1:7" ht="10.5" hidden="1" customHeight="1" x14ac:dyDescent="0.25">
      <c r="A24" s="376"/>
      <c r="B24" s="220"/>
      <c r="C24" s="221">
        <f>'TABELLA ONERI 2025'!C13</f>
        <v>25.373255050392402</v>
      </c>
      <c r="D24" s="221">
        <f>'TABELLA ONERI 2025'!E13</f>
        <v>34.073663191225705</v>
      </c>
      <c r="E24" s="221">
        <f>'TABELLA ONERI 2025'!G13</f>
        <v>39.040292939636622</v>
      </c>
      <c r="F24" s="221">
        <f>'TABELLA ONERI 2025'!I13</f>
        <v>34.778149680362006</v>
      </c>
      <c r="G24" s="228">
        <f>'TABELLA ONERI 2025'!K13</f>
        <v>60.163146172240012</v>
      </c>
    </row>
    <row r="25" spans="1:7" ht="10.5" hidden="1" customHeight="1" x14ac:dyDescent="0.25">
      <c r="A25" s="376"/>
      <c r="B25" s="220"/>
      <c r="C25" s="221">
        <f>'TABELLA ONERI 2025'!C14</f>
        <v>58.613275896140159</v>
      </c>
      <c r="D25" s="221">
        <f>'TABELLA ONERI 2025'!E14</f>
        <v>24.563095587885662</v>
      </c>
      <c r="E25" s="221">
        <f>'TABELLA ONERI 2025'!G14</f>
        <v>24.316525316687954</v>
      </c>
      <c r="F25" s="221">
        <f>'TABELLA ONERI 2025'!I14</f>
        <v>13.467433383988936</v>
      </c>
      <c r="G25" s="228">
        <f>'TABELLA ONERI 2025'!K14</f>
        <v>16.074033393793243</v>
      </c>
    </row>
    <row r="26" spans="1:7" ht="11.25" hidden="1" customHeight="1" x14ac:dyDescent="0.25">
      <c r="A26" s="376"/>
      <c r="B26" s="220"/>
      <c r="C26" s="222">
        <f t="shared" ref="C26:G27" si="3">C$23*C24</f>
        <v>0</v>
      </c>
      <c r="D26" s="222">
        <f t="shared" si="3"/>
        <v>0</v>
      </c>
      <c r="E26" s="222">
        <f t="shared" si="3"/>
        <v>0</v>
      </c>
      <c r="F26" s="222">
        <f t="shared" si="3"/>
        <v>0</v>
      </c>
      <c r="G26" s="229">
        <f t="shared" si="3"/>
        <v>0</v>
      </c>
    </row>
    <row r="27" spans="1:7" ht="11.25" hidden="1" customHeight="1" x14ac:dyDescent="0.25">
      <c r="A27" s="376"/>
      <c r="B27" s="220"/>
      <c r="C27" s="222">
        <f t="shared" si="3"/>
        <v>0</v>
      </c>
      <c r="D27" s="222">
        <f t="shared" si="3"/>
        <v>0</v>
      </c>
      <c r="E27" s="222">
        <f t="shared" si="3"/>
        <v>0</v>
      </c>
      <c r="F27" s="222">
        <f t="shared" si="3"/>
        <v>0</v>
      </c>
      <c r="G27" s="229">
        <f t="shared" si="3"/>
        <v>0</v>
      </c>
    </row>
    <row r="28" spans="1:7" ht="32.25" customHeight="1" x14ac:dyDescent="0.25">
      <c r="A28" s="376"/>
      <c r="B28" s="241" t="s">
        <v>213</v>
      </c>
      <c r="C28" s="237"/>
      <c r="D28" s="218"/>
      <c r="E28" s="218"/>
      <c r="F28" s="218"/>
      <c r="G28" s="226"/>
    </row>
    <row r="29" spans="1:7" ht="14.25" hidden="1" customHeight="1" x14ac:dyDescent="0.25">
      <c r="A29" s="376"/>
      <c r="B29" s="223"/>
      <c r="C29" s="221">
        <f>'TABELLA ONERI 2025'!C16*0.2762</f>
        <v>17.162874434970671</v>
      </c>
      <c r="D29" s="218"/>
      <c r="E29" s="218"/>
      <c r="F29" s="218"/>
      <c r="G29" s="226"/>
    </row>
    <row r="30" spans="1:7" ht="14.25" hidden="1" customHeight="1" x14ac:dyDescent="0.25">
      <c r="A30" s="376"/>
      <c r="B30" s="223"/>
      <c r="C30" s="221">
        <f>'TABELLA ONERI 2025'!C16-C29</f>
        <v>44.976424750296061</v>
      </c>
      <c r="D30" s="218"/>
      <c r="E30" s="218"/>
      <c r="F30" s="218"/>
      <c r="G30" s="226"/>
    </row>
    <row r="31" spans="1:7" ht="14.25" hidden="1" customHeight="1" x14ac:dyDescent="0.25">
      <c r="A31" s="376"/>
      <c r="B31" s="223"/>
      <c r="C31" s="221">
        <f>C28*C29</f>
        <v>0</v>
      </c>
      <c r="D31" s="218"/>
      <c r="E31" s="218"/>
      <c r="F31" s="218"/>
      <c r="G31" s="226"/>
    </row>
    <row r="32" spans="1:7" ht="12" hidden="1" customHeight="1" x14ac:dyDescent="0.25">
      <c r="A32" s="376"/>
      <c r="B32" s="223"/>
      <c r="C32" s="222">
        <f>C28*C30</f>
        <v>0</v>
      </c>
      <c r="D32" s="218"/>
      <c r="E32" s="218"/>
      <c r="F32" s="218"/>
      <c r="G32" s="226"/>
    </row>
    <row r="33" spans="1:7" ht="45" customHeight="1" x14ac:dyDescent="0.25">
      <c r="A33" s="377"/>
      <c r="B33" s="241" t="s">
        <v>214</v>
      </c>
      <c r="C33" s="237"/>
      <c r="D33" s="218"/>
      <c r="E33" s="218"/>
      <c r="F33" s="218"/>
      <c r="G33" s="226"/>
    </row>
    <row r="34" spans="1:7" ht="12" hidden="1" customHeight="1" x14ac:dyDescent="0.25">
      <c r="A34" s="230"/>
      <c r="B34" s="223"/>
      <c r="C34" s="222">
        <f>'TABELLA ONERI 2025'!C16*0.2762/2</f>
        <v>8.5814372174853357</v>
      </c>
      <c r="D34" s="218"/>
      <c r="E34" s="218"/>
      <c r="F34" s="218"/>
      <c r="G34" s="226"/>
    </row>
    <row r="35" spans="1:7" ht="12" hidden="1" customHeight="1" x14ac:dyDescent="0.25">
      <c r="A35" s="230"/>
      <c r="B35" s="223"/>
      <c r="C35" s="222">
        <f>('TABELLA ONERI 2025'!C16)/2-C34</f>
        <v>22.488212375148031</v>
      </c>
      <c r="D35" s="218"/>
      <c r="E35" s="218"/>
      <c r="F35" s="218"/>
      <c r="G35" s="226"/>
    </row>
    <row r="36" spans="1:7" ht="12" hidden="1" customHeight="1" x14ac:dyDescent="0.25">
      <c r="A36" s="230"/>
      <c r="B36" s="223"/>
      <c r="C36" s="221">
        <f>C33*C34</f>
        <v>0</v>
      </c>
      <c r="D36" s="218"/>
      <c r="E36" s="218"/>
      <c r="F36" s="218"/>
      <c r="G36" s="226"/>
    </row>
    <row r="37" spans="1:7" ht="12" hidden="1" customHeight="1" x14ac:dyDescent="0.25">
      <c r="A37" s="230"/>
      <c r="B37" s="223"/>
      <c r="C37" s="222">
        <f>C33*C35</f>
        <v>0</v>
      </c>
      <c r="D37" s="218"/>
      <c r="E37" s="218"/>
      <c r="F37" s="218"/>
      <c r="G37" s="226"/>
    </row>
    <row r="38" spans="1:7" ht="32.25" customHeight="1" x14ac:dyDescent="0.25">
      <c r="A38" s="369" t="s">
        <v>131</v>
      </c>
      <c r="B38" s="236" t="s">
        <v>180</v>
      </c>
      <c r="C38" s="237"/>
      <c r="D38" s="237"/>
      <c r="E38" s="237"/>
      <c r="F38" s="237"/>
      <c r="G38" s="248"/>
    </row>
    <row r="39" spans="1:7" ht="13.5" hidden="1" customHeight="1" x14ac:dyDescent="0.25">
      <c r="A39" s="369"/>
      <c r="B39" s="236"/>
      <c r="C39" s="242">
        <f>'TABELLA ONERI 2025'!C19</f>
        <v>30.403985611634958</v>
      </c>
      <c r="D39" s="242">
        <f>'TABELLA ONERI 2025'!E19</f>
        <v>40.835576665742565</v>
      </c>
      <c r="E39" s="242">
        <f>'TABELLA ONERI 2025'!G19</f>
        <v>46.754625522286759</v>
      </c>
      <c r="F39" s="242">
        <f>'TABELLA ONERI 2025'!I19</f>
        <v>41.656038883481358</v>
      </c>
      <c r="G39" s="251">
        <f>'TABELLA ONERI 2025'!K19</f>
        <v>72.083466272766003</v>
      </c>
    </row>
    <row r="40" spans="1:7" ht="13.5" hidden="1" customHeight="1" x14ac:dyDescent="0.25">
      <c r="A40" s="369"/>
      <c r="B40" s="236"/>
      <c r="C40" s="242">
        <f>'TABELLA ONERI 2025'!C20</f>
        <v>69.528312508950876</v>
      </c>
      <c r="D40" s="242">
        <f>'TABELLA ONERI 2025'!E20</f>
        <v>29.419430950348399</v>
      </c>
      <c r="E40" s="242">
        <f>'TABELLA ONERI 2025'!G20</f>
        <v>29.126408729727398</v>
      </c>
      <c r="F40" s="242">
        <f>'TABELLA ONERI 2025'!I20</f>
        <v>16.139663911804679</v>
      </c>
      <c r="G40" s="251">
        <f>'TABELLA ONERI 2025'!K20</f>
        <v>19.245699450387278</v>
      </c>
    </row>
    <row r="41" spans="1:7" ht="13.5" hidden="1" customHeight="1" x14ac:dyDescent="0.25">
      <c r="A41" s="369"/>
      <c r="B41" s="236"/>
      <c r="C41" s="239">
        <f>C$38*C39</f>
        <v>0</v>
      </c>
      <c r="D41" s="239">
        <f t="shared" ref="D41:G42" si="4">D$38*D39</f>
        <v>0</v>
      </c>
      <c r="E41" s="239">
        <f t="shared" si="4"/>
        <v>0</v>
      </c>
      <c r="F41" s="239">
        <f t="shared" si="4"/>
        <v>0</v>
      </c>
      <c r="G41" s="250">
        <f t="shared" si="4"/>
        <v>0</v>
      </c>
    </row>
    <row r="42" spans="1:7" ht="13.5" hidden="1" customHeight="1" x14ac:dyDescent="0.25">
      <c r="A42" s="369"/>
      <c r="B42" s="236"/>
      <c r="C42" s="239">
        <f>C$38*C40</f>
        <v>0</v>
      </c>
      <c r="D42" s="239">
        <f t="shared" si="4"/>
        <v>0</v>
      </c>
      <c r="E42" s="239">
        <f t="shared" si="4"/>
        <v>0</v>
      </c>
      <c r="F42" s="239">
        <f t="shared" si="4"/>
        <v>0</v>
      </c>
      <c r="G42" s="250">
        <f t="shared" si="4"/>
        <v>0</v>
      </c>
    </row>
    <row r="43" spans="1:7" ht="32.25" customHeight="1" x14ac:dyDescent="0.25">
      <c r="A43" s="369"/>
      <c r="B43" s="236" t="s">
        <v>179</v>
      </c>
      <c r="C43" s="237"/>
      <c r="D43" s="237"/>
      <c r="E43" s="237"/>
      <c r="F43" s="237"/>
      <c r="G43" s="248"/>
    </row>
    <row r="44" spans="1:7" ht="15.75" hidden="1" customHeight="1" x14ac:dyDescent="0.25">
      <c r="A44" s="369"/>
      <c r="B44" s="236"/>
      <c r="C44" s="242">
        <f>'TABELLA ONERI 2025'!C22</f>
        <v>25.328840750479237</v>
      </c>
      <c r="D44" s="242">
        <f>'TABELLA ONERI 2025'!E22</f>
        <v>34.002298480860837</v>
      </c>
      <c r="E44" s="242">
        <f>'TABELLA ONERI 2025'!G22</f>
        <v>38.971955342592999</v>
      </c>
      <c r="F44" s="242">
        <f>'TABELLA ONERI 2025'!I22</f>
        <v>34.717272699176078</v>
      </c>
      <c r="G44" s="251">
        <f>'TABELLA ONERI 2025'!K22</f>
        <v>60.057834338480149</v>
      </c>
    </row>
    <row r="45" spans="1:7" ht="15.75" hidden="1" customHeight="1" x14ac:dyDescent="0.25">
      <c r="A45" s="369"/>
      <c r="B45" s="236"/>
      <c r="C45" s="242">
        <f>'TABELLA ONERI 2025'!C23</f>
        <v>58.510677013601274</v>
      </c>
      <c r="D45" s="242">
        <f>'TABELLA ONERI 2025'!E23</f>
        <v>24.520099421565277</v>
      </c>
      <c r="E45" s="242">
        <f>'TABELLA ONERI 2025'!G23</f>
        <v>24.520099421565277</v>
      </c>
      <c r="F45" s="242">
        <f>'TABELLA ONERI 2025'!I23</f>
        <v>13.314929705018239</v>
      </c>
      <c r="G45" s="251">
        <f>'TABELLA ONERI 2025'!K23</f>
        <v>16.045896801205959</v>
      </c>
    </row>
    <row r="46" spans="1:7" ht="15.75" hidden="1" customHeight="1" x14ac:dyDescent="0.25">
      <c r="A46" s="369"/>
      <c r="B46" s="236"/>
      <c r="C46" s="239">
        <f>C$43*C44</f>
        <v>0</v>
      </c>
      <c r="D46" s="239">
        <f t="shared" ref="D46:G47" si="5">D$43*D44</f>
        <v>0</v>
      </c>
      <c r="E46" s="239">
        <f t="shared" si="5"/>
        <v>0</v>
      </c>
      <c r="F46" s="239">
        <f t="shared" si="5"/>
        <v>0</v>
      </c>
      <c r="G46" s="250">
        <f t="shared" si="5"/>
        <v>0</v>
      </c>
    </row>
    <row r="47" spans="1:7" ht="15.75" hidden="1" customHeight="1" x14ac:dyDescent="0.25">
      <c r="A47" s="369"/>
      <c r="B47" s="236"/>
      <c r="C47" s="239">
        <f>C$43*C45</f>
        <v>0</v>
      </c>
      <c r="D47" s="239">
        <f t="shared" si="5"/>
        <v>0</v>
      </c>
      <c r="E47" s="239">
        <f t="shared" si="5"/>
        <v>0</v>
      </c>
      <c r="F47" s="239">
        <f t="shared" si="5"/>
        <v>0</v>
      </c>
      <c r="G47" s="250">
        <f t="shared" si="5"/>
        <v>0</v>
      </c>
    </row>
    <row r="48" spans="1:7" ht="32.25" customHeight="1" x14ac:dyDescent="0.25">
      <c r="A48" s="369"/>
      <c r="B48" s="236" t="s">
        <v>181</v>
      </c>
      <c r="C48" s="237"/>
      <c r="D48" s="237"/>
      <c r="E48" s="237"/>
      <c r="F48" s="237"/>
      <c r="G48" s="248"/>
    </row>
    <row r="49" spans="1:8" hidden="1" x14ac:dyDescent="0.2">
      <c r="A49" s="225"/>
      <c r="B49" s="218"/>
      <c r="C49" s="224">
        <f>'TABELLA ONERI 2025'!C25</f>
        <v>22.797128764313793</v>
      </c>
      <c r="D49" s="224">
        <f>'TABELLA ONERI 2025'!E25</f>
        <v>30.614961610482077</v>
      </c>
      <c r="E49" s="224">
        <f>'TABELLA ONERI 2025'!G25</f>
        <v>35.068899363921275</v>
      </c>
      <c r="F49" s="224">
        <f>'TABELLA ONERI 2025'!I25</f>
        <v>31.236168718198595</v>
      </c>
      <c r="G49" s="231">
        <f>'TABELLA ONERI 2025'!K25</f>
        <v>54.056739260162068</v>
      </c>
    </row>
    <row r="50" spans="1:8" hidden="1" x14ac:dyDescent="0.2">
      <c r="A50" s="225"/>
      <c r="B50" s="218"/>
      <c r="C50" s="224">
        <f>'TABELLA ONERI 2025'!C26</f>
        <v>52.65023260118128</v>
      </c>
      <c r="D50" s="224">
        <f>'TABELLA ONERI 2025'!E26</f>
        <v>22.070433657173719</v>
      </c>
      <c r="E50" s="224">
        <f>'TABELLA ONERI 2025'!G26</f>
        <v>22.070433657173719</v>
      </c>
      <c r="F50" s="224">
        <f>'TABELLA ONERI 2025'!I26</f>
        <v>12.09595726723488</v>
      </c>
      <c r="G50" s="231">
        <f>'TABELLA ONERI 2025'!K26</f>
        <v>14.440135032202878</v>
      </c>
    </row>
    <row r="51" spans="1:8" hidden="1" x14ac:dyDescent="0.2">
      <c r="A51" s="225"/>
      <c r="B51" s="218"/>
      <c r="C51" s="222">
        <f>C$48*C49</f>
        <v>0</v>
      </c>
      <c r="D51" s="222">
        <f t="shared" ref="D51:G52" si="6">D$48*D49</f>
        <v>0</v>
      </c>
      <c r="E51" s="222">
        <f t="shared" si="6"/>
        <v>0</v>
      </c>
      <c r="F51" s="222">
        <f t="shared" si="6"/>
        <v>0</v>
      </c>
      <c r="G51" s="229">
        <f t="shared" si="6"/>
        <v>0</v>
      </c>
    </row>
    <row r="52" spans="1:8" hidden="1" x14ac:dyDescent="0.2">
      <c r="A52" s="225"/>
      <c r="B52" s="218"/>
      <c r="C52" s="222">
        <f>C$48*C50</f>
        <v>0</v>
      </c>
      <c r="D52" s="222">
        <f t="shared" si="6"/>
        <v>0</v>
      </c>
      <c r="E52" s="222">
        <f t="shared" si="6"/>
        <v>0</v>
      </c>
      <c r="F52" s="222">
        <f t="shared" si="6"/>
        <v>0</v>
      </c>
      <c r="G52" s="229">
        <f t="shared" si="6"/>
        <v>0</v>
      </c>
    </row>
    <row r="53" spans="1:8" x14ac:dyDescent="0.2">
      <c r="A53" s="225"/>
      <c r="B53" s="218"/>
      <c r="C53" s="218"/>
      <c r="D53" s="218"/>
      <c r="E53" s="218"/>
      <c r="F53" s="218"/>
      <c r="G53" s="226"/>
    </row>
    <row r="54" spans="1:8" x14ac:dyDescent="0.2">
      <c r="A54" s="225"/>
      <c r="B54" s="243" t="s">
        <v>85</v>
      </c>
      <c r="C54" s="244">
        <f t="shared" ref="C54:G55" si="7">C11+C16+C21+C26+C41+C46+C51</f>
        <v>0</v>
      </c>
      <c r="D54" s="244">
        <f t="shared" si="7"/>
        <v>0</v>
      </c>
      <c r="E54" s="244">
        <f t="shared" si="7"/>
        <v>0</v>
      </c>
      <c r="F54" s="244">
        <f t="shared" si="7"/>
        <v>0</v>
      </c>
      <c r="G54" s="252">
        <f t="shared" si="7"/>
        <v>0</v>
      </c>
      <c r="H54" s="216"/>
    </row>
    <row r="55" spans="1:8" x14ac:dyDescent="0.2">
      <c r="A55" s="225"/>
      <c r="B55" s="243" t="s">
        <v>86</v>
      </c>
      <c r="C55" s="244">
        <f t="shared" si="7"/>
        <v>0</v>
      </c>
      <c r="D55" s="244">
        <f t="shared" si="7"/>
        <v>0</v>
      </c>
      <c r="E55" s="244">
        <f t="shared" si="7"/>
        <v>0</v>
      </c>
      <c r="F55" s="244">
        <f t="shared" si="7"/>
        <v>0</v>
      </c>
      <c r="G55" s="252">
        <f t="shared" si="7"/>
        <v>0</v>
      </c>
      <c r="H55" s="216"/>
    </row>
    <row r="56" spans="1:8" x14ac:dyDescent="0.2">
      <c r="A56" s="225"/>
      <c r="B56" s="243" t="s">
        <v>205</v>
      </c>
      <c r="C56" s="244">
        <f>C31+C36</f>
        <v>0</v>
      </c>
      <c r="D56" s="264"/>
      <c r="E56" s="264"/>
      <c r="F56" s="264"/>
      <c r="G56" s="265"/>
      <c r="H56" s="216"/>
    </row>
    <row r="57" spans="1:8" x14ac:dyDescent="0.2">
      <c r="A57" s="225"/>
      <c r="B57" s="243" t="s">
        <v>206</v>
      </c>
      <c r="C57" s="244">
        <f>C32+C37</f>
        <v>0</v>
      </c>
      <c r="D57" s="218"/>
      <c r="E57" s="218"/>
      <c r="F57" s="218"/>
      <c r="G57" s="226"/>
      <c r="H57" s="216"/>
    </row>
    <row r="58" spans="1:8" x14ac:dyDescent="0.2">
      <c r="A58" s="225"/>
      <c r="B58" s="218"/>
      <c r="C58" s="218"/>
      <c r="D58" s="218"/>
      <c r="E58" s="218"/>
      <c r="F58" s="218"/>
      <c r="G58" s="226"/>
    </row>
    <row r="59" spans="1:8" ht="15" x14ac:dyDescent="0.25">
      <c r="A59" s="225"/>
      <c r="B59" s="245" t="s">
        <v>189</v>
      </c>
      <c r="C59" s="246">
        <f>SUM(C54:G54)+C56</f>
        <v>0</v>
      </c>
      <c r="D59" s="218"/>
      <c r="E59" s="218"/>
      <c r="F59" s="218"/>
      <c r="G59" s="226"/>
    </row>
    <row r="60" spans="1:8" ht="15.75" thickBot="1" x14ac:dyDescent="0.3">
      <c r="A60" s="232"/>
      <c r="B60" s="253" t="s">
        <v>190</v>
      </c>
      <c r="C60" s="254">
        <f>SUM(C55:G55)+C57</f>
        <v>0</v>
      </c>
      <c r="D60" s="233"/>
      <c r="E60" s="233"/>
      <c r="F60" s="233"/>
      <c r="G60" s="234"/>
    </row>
    <row r="62" spans="1:8" ht="14.25" customHeight="1" x14ac:dyDescent="0.2">
      <c r="B62" s="368"/>
      <c r="C62" s="368"/>
      <c r="D62" s="368"/>
      <c r="E62" s="368"/>
      <c r="F62" s="368"/>
      <c r="G62" s="368"/>
    </row>
  </sheetData>
  <sheetProtection sheet="1" objects="1" scenarios="1" selectLockedCells="1"/>
  <mergeCells count="6">
    <mergeCell ref="B62:G62"/>
    <mergeCell ref="A38:A48"/>
    <mergeCell ref="A4:G4"/>
    <mergeCell ref="A1:G1"/>
    <mergeCell ref="A2:G2"/>
    <mergeCell ref="A8:A33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  <headerFooter>
    <oddHeader>&amp;LComune di Lastra a Signa</oddHeader>
    <oddFooter>&amp;LCalcolo degli oneri di urbanizzazione 2025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H21"/>
  <sheetViews>
    <sheetView zoomScaleNormal="100" workbookViewId="0">
      <selection activeCell="C19" sqref="C19"/>
    </sheetView>
  </sheetViews>
  <sheetFormatPr defaultColWidth="9.140625" defaultRowHeight="14.25" x14ac:dyDescent="0.2"/>
  <cols>
    <col min="1" max="1" width="2.28515625" style="50" customWidth="1"/>
    <col min="2" max="2" width="8.5703125" style="50" customWidth="1"/>
    <col min="3" max="3" width="35.42578125" style="50" customWidth="1"/>
    <col min="4" max="4" width="2.85546875" style="50" customWidth="1"/>
    <col min="5" max="5" width="17.140625" style="50" customWidth="1"/>
    <col min="6" max="6" width="3.28515625" style="50" customWidth="1"/>
    <col min="7" max="7" width="17.42578125" style="50" customWidth="1"/>
    <col min="8" max="8" width="2.42578125" style="50" customWidth="1"/>
    <col min="9" max="16384" width="9.140625" style="50"/>
  </cols>
  <sheetData>
    <row r="1" spans="1:8" ht="18" x14ac:dyDescent="0.25">
      <c r="A1" s="378" t="s">
        <v>192</v>
      </c>
      <c r="B1" s="379"/>
      <c r="C1" s="379"/>
      <c r="D1" s="379"/>
      <c r="E1" s="379"/>
      <c r="F1" s="379"/>
      <c r="G1" s="379"/>
      <c r="H1" s="380"/>
    </row>
    <row r="2" spans="1:8" ht="15.75" customHeight="1" thickBot="1" x14ac:dyDescent="0.25">
      <c r="A2" s="56"/>
      <c r="B2" s="67"/>
      <c r="C2" s="68"/>
      <c r="D2" s="68"/>
      <c r="E2" s="69"/>
      <c r="F2" s="69"/>
      <c r="G2" s="69"/>
      <c r="H2" s="64"/>
    </row>
    <row r="3" spans="1:8" ht="18" customHeight="1" x14ac:dyDescent="0.25">
      <c r="A3" s="381" t="s">
        <v>87</v>
      </c>
      <c r="B3" s="382"/>
      <c r="C3" s="382"/>
      <c r="D3" s="382"/>
      <c r="E3" s="382"/>
      <c r="F3" s="382"/>
      <c r="G3" s="382"/>
      <c r="H3" s="383"/>
    </row>
    <row r="4" spans="1:8" ht="15" thickBot="1" x14ac:dyDescent="0.25">
      <c r="A4" s="55"/>
      <c r="B4" s="53"/>
      <c r="C4" s="53"/>
      <c r="D4" s="53"/>
      <c r="E4" s="52"/>
      <c r="F4" s="52"/>
      <c r="G4" s="52"/>
      <c r="H4" s="63"/>
    </row>
    <row r="5" spans="1:8" ht="15.75" x14ac:dyDescent="0.25">
      <c r="A5" s="55"/>
      <c r="B5" s="384" t="s">
        <v>87</v>
      </c>
      <c r="C5" s="385"/>
      <c r="D5" s="385"/>
      <c r="E5" s="385"/>
      <c r="F5" s="385"/>
      <c r="G5" s="386"/>
      <c r="H5" s="63"/>
    </row>
    <row r="6" spans="1:8" x14ac:dyDescent="0.2">
      <c r="A6" s="55"/>
      <c r="B6" s="389" t="s">
        <v>85</v>
      </c>
      <c r="C6" s="367"/>
      <c r="D6" s="204"/>
      <c r="E6" s="165">
        <f>'ONERI URB.'!C54+'ONERI URB.'!D54+'ONERI URB.'!E54+'ONERI URB.'!F54+'ONERI URB.'!G54</f>
        <v>0</v>
      </c>
      <c r="F6" s="208"/>
      <c r="G6" s="166"/>
      <c r="H6" s="63"/>
    </row>
    <row r="7" spans="1:8" x14ac:dyDescent="0.2">
      <c r="A7" s="55"/>
      <c r="B7" s="389" t="s">
        <v>86</v>
      </c>
      <c r="C7" s="361"/>
      <c r="D7" s="205"/>
      <c r="E7" s="165">
        <f>'ONERI URB.'!C55+'ONERI URB.'!D55+'ONERI URB.'!E55+'ONERI URB.'!F55+'ONERI URB.'!G55</f>
        <v>0</v>
      </c>
      <c r="F7" s="208"/>
      <c r="G7" s="166"/>
      <c r="H7" s="63"/>
    </row>
    <row r="8" spans="1:8" ht="15" x14ac:dyDescent="0.25">
      <c r="A8" s="55"/>
      <c r="B8" s="390" t="s">
        <v>88</v>
      </c>
      <c r="C8" s="391"/>
      <c r="D8" s="206"/>
      <c r="E8" s="167">
        <f>SUM(E6:E7)</f>
        <v>0</v>
      </c>
      <c r="F8" s="209"/>
      <c r="G8" s="168"/>
      <c r="H8" s="63"/>
    </row>
    <row r="9" spans="1:8" ht="15" x14ac:dyDescent="0.25">
      <c r="A9" s="55"/>
      <c r="B9" s="161"/>
      <c r="C9" s="162"/>
      <c r="D9" s="162"/>
      <c r="E9" s="163"/>
      <c r="F9" s="163"/>
      <c r="G9" s="164"/>
      <c r="H9" s="63"/>
    </row>
    <row r="10" spans="1:8" ht="15" x14ac:dyDescent="0.2">
      <c r="A10" s="55"/>
      <c r="B10" s="389" t="s">
        <v>203</v>
      </c>
      <c r="C10" s="367"/>
      <c r="D10" s="204"/>
      <c r="E10" s="165">
        <f>'ONERI URB.'!C56</f>
        <v>0</v>
      </c>
      <c r="F10" s="209"/>
      <c r="G10" s="168"/>
      <c r="H10" s="63"/>
    </row>
    <row r="11" spans="1:8" ht="15" x14ac:dyDescent="0.2">
      <c r="A11" s="55"/>
      <c r="B11" s="389" t="s">
        <v>204</v>
      </c>
      <c r="C11" s="361"/>
      <c r="D11" s="205"/>
      <c r="E11" s="165">
        <f>'ONERI URB.'!C57</f>
        <v>0</v>
      </c>
      <c r="F11" s="262"/>
      <c r="G11" s="263"/>
      <c r="H11" s="63"/>
    </row>
    <row r="12" spans="1:8" ht="15" x14ac:dyDescent="0.25">
      <c r="A12" s="55"/>
      <c r="B12" s="392" t="s">
        <v>191</v>
      </c>
      <c r="C12" s="393"/>
      <c r="D12" s="206"/>
      <c r="E12" s="167">
        <f>SUM(E10:E11)</f>
        <v>0</v>
      </c>
      <c r="F12" s="262"/>
      <c r="G12" s="263"/>
      <c r="H12" s="63"/>
    </row>
    <row r="13" spans="1:8" ht="15" x14ac:dyDescent="0.25">
      <c r="A13" s="55"/>
      <c r="B13" s="161"/>
      <c r="C13" s="162"/>
      <c r="D13" s="162"/>
      <c r="E13" s="163"/>
      <c r="F13" s="52"/>
      <c r="G13" s="63"/>
      <c r="H13" s="63"/>
    </row>
    <row r="14" spans="1:8" ht="15" x14ac:dyDescent="0.2">
      <c r="A14" s="55"/>
      <c r="B14" s="389" t="s">
        <v>89</v>
      </c>
      <c r="C14" s="367"/>
      <c r="D14" s="204"/>
      <c r="E14" s="167">
        <f>'CONTRIBUTO COSTO COST.'!K26</f>
        <v>0</v>
      </c>
      <c r="F14" s="209"/>
      <c r="G14" s="168"/>
      <c r="H14" s="63"/>
    </row>
    <row r="15" spans="1:8" x14ac:dyDescent="0.2">
      <c r="A15" s="55"/>
      <c r="B15" s="55"/>
      <c r="C15" s="52"/>
      <c r="D15" s="52"/>
      <c r="E15" s="52"/>
      <c r="F15" s="52"/>
      <c r="G15" s="63"/>
      <c r="H15" s="63"/>
    </row>
    <row r="16" spans="1:8" ht="16.5" thickBot="1" x14ac:dyDescent="0.25">
      <c r="A16" s="55"/>
      <c r="B16" s="387" t="s">
        <v>90</v>
      </c>
      <c r="C16" s="388"/>
      <c r="D16" s="207"/>
      <c r="E16" s="169">
        <f>E8+E14+E12</f>
        <v>0</v>
      </c>
      <c r="F16" s="210"/>
      <c r="G16" s="170"/>
      <c r="H16" s="63"/>
    </row>
    <row r="17" spans="1:8" ht="15" thickBot="1" x14ac:dyDescent="0.25">
      <c r="A17" s="56"/>
      <c r="B17" s="57"/>
      <c r="C17" s="57"/>
      <c r="D17" s="57"/>
      <c r="E17" s="57"/>
      <c r="F17" s="57"/>
      <c r="G17" s="57"/>
      <c r="H17" s="64"/>
    </row>
    <row r="19" spans="1:8" ht="15" thickBot="1" x14ac:dyDescent="0.25">
      <c r="C19" s="258" t="s">
        <v>194</v>
      </c>
      <c r="D19" s="70"/>
      <c r="E19" s="259" t="s">
        <v>195</v>
      </c>
      <c r="F19" s="211"/>
    </row>
    <row r="21" spans="1:8" ht="15" thickBot="1" x14ac:dyDescent="0.25">
      <c r="C21" s="260" t="s">
        <v>101</v>
      </c>
      <c r="D21" s="57"/>
      <c r="E21" s="57"/>
      <c r="F21" s="52"/>
    </row>
  </sheetData>
  <sheetProtection sheet="1" selectLockedCells="1"/>
  <mergeCells count="11">
    <mergeCell ref="A1:H1"/>
    <mergeCell ref="A3:H3"/>
    <mergeCell ref="B5:G5"/>
    <mergeCell ref="B16:C16"/>
    <mergeCell ref="B10:C10"/>
    <mergeCell ref="B6:C6"/>
    <mergeCell ref="B7:C7"/>
    <mergeCell ref="B8:C8"/>
    <mergeCell ref="B14:C14"/>
    <mergeCell ref="B11:C11"/>
    <mergeCell ref="B12:C12"/>
  </mergeCells>
  <phoneticPr fontId="22" type="noConversion"/>
  <pageMargins left="0.74803149606299213" right="0.74803149606299213" top="0.98425196850393704" bottom="0.98425196850393704" header="0.51181102362204722" footer="0.51181102362204722"/>
  <pageSetup paperSize="9" orientation="portrait" horizontalDpi="4294967292" r:id="rId1"/>
  <headerFooter alignWithMargins="0">
    <oddHeader>&amp;LComune di Lastra a Signa</oddHeader>
    <oddFooter>&amp;LTabella riepilogativa degli oneri di urbanizzazione e contributo sul costo di costruzione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pageSetUpPr fitToPage="1"/>
  </sheetPr>
  <dimension ref="A1:I47"/>
  <sheetViews>
    <sheetView zoomScale="115" zoomScaleNormal="115" workbookViewId="0">
      <selection activeCell="I4" sqref="I4"/>
    </sheetView>
  </sheetViews>
  <sheetFormatPr defaultRowHeight="12.75" x14ac:dyDescent="0.2"/>
  <cols>
    <col min="1" max="1" width="17.28515625" style="269" customWidth="1"/>
    <col min="2" max="2" width="3.5703125" style="269" customWidth="1"/>
    <col min="3" max="3" width="13.85546875" style="269" customWidth="1"/>
    <col min="4" max="4" width="13.7109375" style="269" customWidth="1"/>
    <col min="5" max="5" width="14.42578125" style="269" customWidth="1"/>
    <col min="6" max="8" width="13.7109375" style="269" customWidth="1"/>
    <col min="9" max="9" width="16.85546875" style="269" customWidth="1"/>
    <col min="10" max="16384" width="9.140625" style="269"/>
  </cols>
  <sheetData>
    <row r="1" spans="1:9" ht="15.75" customHeight="1" x14ac:dyDescent="0.25">
      <c r="A1" s="405" t="s">
        <v>157</v>
      </c>
      <c r="B1" s="405"/>
      <c r="C1" s="405"/>
      <c r="D1" s="405"/>
      <c r="E1" s="405"/>
      <c r="F1" s="405"/>
      <c r="G1" s="405"/>
      <c r="H1" s="405"/>
      <c r="I1" s="405"/>
    </row>
    <row r="2" spans="1:9" ht="18" x14ac:dyDescent="0.25">
      <c r="A2" s="405" t="s">
        <v>176</v>
      </c>
      <c r="B2" s="405"/>
      <c r="C2" s="405"/>
      <c r="D2" s="405"/>
      <c r="E2" s="405"/>
      <c r="F2" s="405"/>
      <c r="G2" s="405"/>
      <c r="H2" s="405"/>
      <c r="I2" s="405"/>
    </row>
    <row r="3" spans="1:9" ht="13.5" thickBot="1" x14ac:dyDescent="0.25"/>
    <row r="4" spans="1:9" ht="13.5" thickBot="1" x14ac:dyDescent="0.25">
      <c r="A4" s="270" t="s">
        <v>140</v>
      </c>
      <c r="B4" s="271"/>
      <c r="C4" s="272"/>
      <c r="D4" s="273"/>
      <c r="E4" s="274"/>
      <c r="F4" s="274"/>
      <c r="H4" s="275" t="s">
        <v>141</v>
      </c>
      <c r="I4" s="173">
        <v>45658</v>
      </c>
    </row>
    <row r="5" spans="1:9" x14ac:dyDescent="0.2">
      <c r="A5" s="276"/>
      <c r="B5" s="277"/>
      <c r="C5" s="278" t="s">
        <v>196</v>
      </c>
      <c r="D5" s="279">
        <f>'TABELLA RIEPILOGATIVA'!E6+'TABELLA RIEPILOGATIVA'!E10</f>
        <v>0</v>
      </c>
      <c r="E5" s="280"/>
      <c r="F5" s="281"/>
    </row>
    <row r="6" spans="1:9" ht="13.5" thickBot="1" x14ac:dyDescent="0.25">
      <c r="A6" s="282"/>
      <c r="B6" s="283"/>
      <c r="C6" s="284" t="s">
        <v>197</v>
      </c>
      <c r="D6" s="285">
        <f>'TABELLA RIEPILOGATIVA'!E7+'TABELLA RIEPILOGATIVA'!E11</f>
        <v>0</v>
      </c>
      <c r="E6" s="280"/>
      <c r="F6" s="281"/>
    </row>
    <row r="7" spans="1:9" x14ac:dyDescent="0.2">
      <c r="A7" s="406" t="s">
        <v>142</v>
      </c>
      <c r="B7" s="407"/>
      <c r="C7" s="408"/>
      <c r="D7" s="286">
        <f>SUM(D5:D6)</f>
        <v>0</v>
      </c>
      <c r="E7" s="280"/>
      <c r="F7" s="281"/>
    </row>
    <row r="8" spans="1:9" ht="13.5" thickBot="1" x14ac:dyDescent="0.25">
      <c r="A8" s="287" t="s">
        <v>202</v>
      </c>
      <c r="B8" s="288"/>
      <c r="C8" s="289"/>
      <c r="D8" s="285">
        <f>'TABELLA RIEPILOGATIVA'!E14</f>
        <v>0</v>
      </c>
      <c r="E8" s="280"/>
      <c r="F8" s="281"/>
    </row>
    <row r="9" spans="1:9" ht="5.0999999999999996" customHeight="1" thickBot="1" x14ac:dyDescent="0.25"/>
    <row r="10" spans="1:9" x14ac:dyDescent="0.2">
      <c r="A10" s="290" t="s">
        <v>160</v>
      </c>
      <c r="B10" s="291"/>
      <c r="C10" s="291"/>
      <c r="D10" s="291"/>
      <c r="E10" s="291"/>
      <c r="F10" s="291"/>
      <c r="G10" s="291"/>
      <c r="H10" s="291"/>
      <c r="I10" s="292"/>
    </row>
    <row r="11" spans="1:9" x14ac:dyDescent="0.2">
      <c r="A11" s="293" t="s">
        <v>143</v>
      </c>
      <c r="B11" s="294"/>
      <c r="C11" s="294"/>
      <c r="D11" s="295">
        <f>D7+D8</f>
        <v>0</v>
      </c>
      <c r="E11" s="274"/>
      <c r="F11" s="274"/>
      <c r="G11" s="274"/>
      <c r="H11" s="274"/>
      <c r="I11" s="296"/>
    </row>
    <row r="12" spans="1:9" ht="13.5" thickBot="1" x14ac:dyDescent="0.25">
      <c r="A12" s="297" t="s">
        <v>144</v>
      </c>
      <c r="B12" s="298"/>
      <c r="C12" s="298"/>
      <c r="D12" s="318">
        <v>0.02</v>
      </c>
      <c r="E12" s="274"/>
      <c r="F12" s="274"/>
      <c r="G12" s="274"/>
      <c r="H12" s="274"/>
      <c r="I12" s="296"/>
    </row>
    <row r="13" spans="1:9" ht="15.75" thickBot="1" x14ac:dyDescent="0.25">
      <c r="A13" s="299" t="s">
        <v>145</v>
      </c>
      <c r="B13" s="300"/>
      <c r="C13" s="301" t="s">
        <v>146</v>
      </c>
      <c r="D13" s="301" t="s">
        <v>147</v>
      </c>
      <c r="E13" s="301" t="s">
        <v>148</v>
      </c>
      <c r="F13" s="301" t="s">
        <v>149</v>
      </c>
      <c r="G13" s="301" t="s">
        <v>150</v>
      </c>
      <c r="H13" s="301" t="s">
        <v>151</v>
      </c>
      <c r="I13" s="302" t="s">
        <v>152</v>
      </c>
    </row>
    <row r="14" spans="1:9" ht="15" customHeight="1" x14ac:dyDescent="0.2">
      <c r="A14" s="412" t="s">
        <v>170</v>
      </c>
      <c r="B14" s="303" t="s">
        <v>166</v>
      </c>
      <c r="C14" s="304">
        <f>$D$5</f>
        <v>0</v>
      </c>
      <c r="D14" s="304">
        <f>$D$5/2</f>
        <v>0</v>
      </c>
      <c r="E14" s="304">
        <f>$D$5/3</f>
        <v>0</v>
      </c>
      <c r="F14" s="304">
        <f>$D$5/4</f>
        <v>0</v>
      </c>
      <c r="G14" s="304">
        <f>$D$5/5</f>
        <v>0</v>
      </c>
      <c r="H14" s="304">
        <f>$D$5/6</f>
        <v>0</v>
      </c>
      <c r="I14" s="394">
        <f>I4</f>
        <v>45658</v>
      </c>
    </row>
    <row r="15" spans="1:9" ht="15" customHeight="1" x14ac:dyDescent="0.2">
      <c r="A15" s="413"/>
      <c r="B15" s="305" t="s">
        <v>167</v>
      </c>
      <c r="C15" s="306">
        <f>$D$6</f>
        <v>0</v>
      </c>
      <c r="D15" s="306">
        <f>$D$6/2</f>
        <v>0</v>
      </c>
      <c r="E15" s="306">
        <f>$D$6/3</f>
        <v>0</v>
      </c>
      <c r="F15" s="306">
        <f>$D$6/4</f>
        <v>0</v>
      </c>
      <c r="G15" s="306">
        <f>$D$6/5</f>
        <v>0</v>
      </c>
      <c r="H15" s="306">
        <f>$D$6/6</f>
        <v>0</v>
      </c>
      <c r="I15" s="395"/>
    </row>
    <row r="16" spans="1:9" ht="15" customHeight="1" x14ac:dyDescent="0.2">
      <c r="A16" s="413"/>
      <c r="B16" s="305" t="s">
        <v>168</v>
      </c>
      <c r="C16" s="306">
        <f>$D$8</f>
        <v>0</v>
      </c>
      <c r="D16" s="306">
        <f>$D$8/2</f>
        <v>0</v>
      </c>
      <c r="E16" s="306">
        <f>$D$8/3</f>
        <v>0</v>
      </c>
      <c r="F16" s="306">
        <f>$D$8/4</f>
        <v>0</v>
      </c>
      <c r="G16" s="306">
        <f>$D$8/5</f>
        <v>0</v>
      </c>
      <c r="H16" s="306">
        <f>$D$8/6</f>
        <v>0</v>
      </c>
      <c r="I16" s="395"/>
    </row>
    <row r="17" spans="1:9" ht="15.75" thickBot="1" x14ac:dyDescent="0.3">
      <c r="A17" s="414"/>
      <c r="B17" s="307" t="s">
        <v>81</v>
      </c>
      <c r="C17" s="308">
        <f t="shared" ref="C17:H17" si="0">SUM(C14:C16)</f>
        <v>0</v>
      </c>
      <c r="D17" s="308">
        <f t="shared" si="0"/>
        <v>0</v>
      </c>
      <c r="E17" s="308">
        <f t="shared" si="0"/>
        <v>0</v>
      </c>
      <c r="F17" s="308">
        <f t="shared" si="0"/>
        <v>0</v>
      </c>
      <c r="G17" s="308">
        <f t="shared" si="0"/>
        <v>0</v>
      </c>
      <c r="H17" s="308">
        <f t="shared" si="0"/>
        <v>0</v>
      </c>
      <c r="I17" s="396"/>
    </row>
    <row r="18" spans="1:9" ht="15" customHeight="1" x14ac:dyDescent="0.25">
      <c r="A18" s="412" t="s">
        <v>171</v>
      </c>
      <c r="B18" s="303" t="s">
        <v>166</v>
      </c>
      <c r="C18" s="309"/>
      <c r="D18" s="304">
        <f t="shared" ref="D18:H19" si="1">D14+(D14*$D$12/2)</f>
        <v>0</v>
      </c>
      <c r="E18" s="304">
        <f t="shared" si="1"/>
        <v>0</v>
      </c>
      <c r="F18" s="304">
        <f t="shared" si="1"/>
        <v>0</v>
      </c>
      <c r="G18" s="304">
        <f t="shared" si="1"/>
        <v>0</v>
      </c>
      <c r="H18" s="304">
        <f t="shared" si="1"/>
        <v>0</v>
      </c>
      <c r="I18" s="394">
        <f>DATE(YEAR($I$14),MONTH($I$14)+6,DAY($I$14))</f>
        <v>45839</v>
      </c>
    </row>
    <row r="19" spans="1:9" ht="15" customHeight="1" x14ac:dyDescent="0.25">
      <c r="A19" s="413"/>
      <c r="B19" s="305" t="s">
        <v>167</v>
      </c>
      <c r="C19" s="310"/>
      <c r="D19" s="306">
        <f t="shared" si="1"/>
        <v>0</v>
      </c>
      <c r="E19" s="306">
        <f t="shared" si="1"/>
        <v>0</v>
      </c>
      <c r="F19" s="306">
        <f t="shared" si="1"/>
        <v>0</v>
      </c>
      <c r="G19" s="306">
        <f t="shared" si="1"/>
        <v>0</v>
      </c>
      <c r="H19" s="306">
        <f t="shared" si="1"/>
        <v>0</v>
      </c>
      <c r="I19" s="395"/>
    </row>
    <row r="20" spans="1:9" ht="15" customHeight="1" x14ac:dyDescent="0.25">
      <c r="A20" s="413"/>
      <c r="B20" s="305" t="s">
        <v>168</v>
      </c>
      <c r="C20" s="310"/>
      <c r="D20" s="306">
        <f t="shared" ref="D20:H20" si="2">D16+(D16*$D$12/2)</f>
        <v>0</v>
      </c>
      <c r="E20" s="306">
        <f t="shared" si="2"/>
        <v>0</v>
      </c>
      <c r="F20" s="306">
        <f t="shared" si="2"/>
        <v>0</v>
      </c>
      <c r="G20" s="306">
        <f t="shared" si="2"/>
        <v>0</v>
      </c>
      <c r="H20" s="306">
        <f t="shared" si="2"/>
        <v>0</v>
      </c>
      <c r="I20" s="395"/>
    </row>
    <row r="21" spans="1:9" ht="15.75" thickBot="1" x14ac:dyDescent="0.3">
      <c r="A21" s="414"/>
      <c r="B21" s="307" t="s">
        <v>81</v>
      </c>
      <c r="C21" s="311"/>
      <c r="D21" s="308">
        <f>SUM(D18:D20)</f>
        <v>0</v>
      </c>
      <c r="E21" s="308">
        <f>SUM(E18:E20)</f>
        <v>0</v>
      </c>
      <c r="F21" s="308">
        <f>SUM(F18:F20)</f>
        <v>0</v>
      </c>
      <c r="G21" s="308">
        <f>SUM(G18:G20)</f>
        <v>0</v>
      </c>
      <c r="H21" s="308">
        <f>SUM(H18:H20)</f>
        <v>0</v>
      </c>
      <c r="I21" s="396"/>
    </row>
    <row r="22" spans="1:9" ht="15" customHeight="1" x14ac:dyDescent="0.2">
      <c r="A22" s="412" t="s">
        <v>172</v>
      </c>
      <c r="B22" s="303" t="s">
        <v>166</v>
      </c>
      <c r="C22" s="312"/>
      <c r="D22" s="312"/>
      <c r="E22" s="304">
        <f t="shared" ref="E22:H23" si="3">E14+(E14*$D$12)</f>
        <v>0</v>
      </c>
      <c r="F22" s="304">
        <f t="shared" si="3"/>
        <v>0</v>
      </c>
      <c r="G22" s="304">
        <f t="shared" si="3"/>
        <v>0</v>
      </c>
      <c r="H22" s="304">
        <f t="shared" si="3"/>
        <v>0</v>
      </c>
      <c r="I22" s="394">
        <f>DATE(YEAR($I$14),MONTH($I$14)+12,DAY($I$14))</f>
        <v>46023</v>
      </c>
    </row>
    <row r="23" spans="1:9" ht="15" customHeight="1" x14ac:dyDescent="0.2">
      <c r="A23" s="413"/>
      <c r="B23" s="305" t="s">
        <v>167</v>
      </c>
      <c r="C23" s="313"/>
      <c r="D23" s="313"/>
      <c r="E23" s="306">
        <f t="shared" si="3"/>
        <v>0</v>
      </c>
      <c r="F23" s="306">
        <f t="shared" si="3"/>
        <v>0</v>
      </c>
      <c r="G23" s="306">
        <f t="shared" si="3"/>
        <v>0</v>
      </c>
      <c r="H23" s="306">
        <f t="shared" si="3"/>
        <v>0</v>
      </c>
      <c r="I23" s="395"/>
    </row>
    <row r="24" spans="1:9" ht="15" customHeight="1" x14ac:dyDescent="0.2">
      <c r="A24" s="413"/>
      <c r="B24" s="305" t="s">
        <v>168</v>
      </c>
      <c r="C24" s="313"/>
      <c r="D24" s="313"/>
      <c r="E24" s="306">
        <f t="shared" ref="E24:H24" si="4">E16+(E16*$D$12)</f>
        <v>0</v>
      </c>
      <c r="F24" s="306">
        <f t="shared" si="4"/>
        <v>0</v>
      </c>
      <c r="G24" s="306">
        <f t="shared" si="4"/>
        <v>0</v>
      </c>
      <c r="H24" s="306">
        <f t="shared" si="4"/>
        <v>0</v>
      </c>
      <c r="I24" s="395"/>
    </row>
    <row r="25" spans="1:9" ht="15.75" thickBot="1" x14ac:dyDescent="0.3">
      <c r="A25" s="414"/>
      <c r="B25" s="307" t="s">
        <v>81</v>
      </c>
      <c r="C25" s="311"/>
      <c r="D25" s="311"/>
      <c r="E25" s="308">
        <f>SUM(E22:E24)</f>
        <v>0</v>
      </c>
      <c r="F25" s="308">
        <f>SUM(F22:F24)</f>
        <v>0</v>
      </c>
      <c r="G25" s="308">
        <f>SUM(G22:G24)</f>
        <v>0</v>
      </c>
      <c r="H25" s="308">
        <f>SUM(H22:H24)</f>
        <v>0</v>
      </c>
      <c r="I25" s="396"/>
    </row>
    <row r="26" spans="1:9" ht="15" customHeight="1" x14ac:dyDescent="0.2">
      <c r="A26" s="412" t="s">
        <v>173</v>
      </c>
      <c r="B26" s="303" t="s">
        <v>166</v>
      </c>
      <c r="C26" s="312"/>
      <c r="D26" s="312"/>
      <c r="E26" s="312"/>
      <c r="F26" s="304">
        <f t="shared" ref="F26:H27" si="5">F14+(F14*$D$12*1.5)</f>
        <v>0</v>
      </c>
      <c r="G26" s="304">
        <f t="shared" si="5"/>
        <v>0</v>
      </c>
      <c r="H26" s="304">
        <f t="shared" si="5"/>
        <v>0</v>
      </c>
      <c r="I26" s="394">
        <f>DATE(YEAR($I$14),MONTH($I$14)+18,DAY($I$14))</f>
        <v>46204</v>
      </c>
    </row>
    <row r="27" spans="1:9" ht="15" customHeight="1" x14ac:dyDescent="0.2">
      <c r="A27" s="413"/>
      <c r="B27" s="305" t="s">
        <v>167</v>
      </c>
      <c r="C27" s="313"/>
      <c r="D27" s="313"/>
      <c r="E27" s="313"/>
      <c r="F27" s="306">
        <f t="shared" si="5"/>
        <v>0</v>
      </c>
      <c r="G27" s="306">
        <f t="shared" si="5"/>
        <v>0</v>
      </c>
      <c r="H27" s="306">
        <f t="shared" si="5"/>
        <v>0</v>
      </c>
      <c r="I27" s="395"/>
    </row>
    <row r="28" spans="1:9" ht="15" customHeight="1" x14ac:dyDescent="0.2">
      <c r="A28" s="413"/>
      <c r="B28" s="305" t="s">
        <v>168</v>
      </c>
      <c r="C28" s="313"/>
      <c r="D28" s="313"/>
      <c r="E28" s="313"/>
      <c r="F28" s="306">
        <f t="shared" ref="F28:H28" si="6">F16+(F16*$D$12*1.5)</f>
        <v>0</v>
      </c>
      <c r="G28" s="306">
        <f t="shared" si="6"/>
        <v>0</v>
      </c>
      <c r="H28" s="306">
        <f t="shared" si="6"/>
        <v>0</v>
      </c>
      <c r="I28" s="395"/>
    </row>
    <row r="29" spans="1:9" ht="15.75" thickBot="1" x14ac:dyDescent="0.3">
      <c r="A29" s="414"/>
      <c r="B29" s="307" t="s">
        <v>81</v>
      </c>
      <c r="C29" s="311"/>
      <c r="D29" s="311"/>
      <c r="E29" s="311"/>
      <c r="F29" s="308">
        <f>SUM(F26:F28)</f>
        <v>0</v>
      </c>
      <c r="G29" s="308">
        <f>SUM(G26:G28)</f>
        <v>0</v>
      </c>
      <c r="H29" s="308">
        <f>SUM(H26:H28)</f>
        <v>0</v>
      </c>
      <c r="I29" s="396"/>
    </row>
    <row r="30" spans="1:9" ht="15" customHeight="1" x14ac:dyDescent="0.2">
      <c r="A30" s="412" t="s">
        <v>174</v>
      </c>
      <c r="B30" s="303" t="s">
        <v>166</v>
      </c>
      <c r="C30" s="312"/>
      <c r="D30" s="312"/>
      <c r="E30" s="312"/>
      <c r="F30" s="312"/>
      <c r="G30" s="304">
        <f>G14+(G14*$D$12*2)</f>
        <v>0</v>
      </c>
      <c r="H30" s="304">
        <f>H14+(H14*$D$12*2)</f>
        <v>0</v>
      </c>
      <c r="I30" s="394">
        <f>DATE(YEAR($I$14),MONTH($I$14)+24,DAY($I$14))</f>
        <v>46388</v>
      </c>
    </row>
    <row r="31" spans="1:9" ht="15" customHeight="1" x14ac:dyDescent="0.2">
      <c r="A31" s="413"/>
      <c r="B31" s="305" t="s">
        <v>167</v>
      </c>
      <c r="C31" s="313"/>
      <c r="D31" s="313"/>
      <c r="E31" s="313"/>
      <c r="F31" s="313"/>
      <c r="G31" s="306">
        <f>G15+(G15*$D$12*2)</f>
        <v>0</v>
      </c>
      <c r="H31" s="306">
        <f>H15+(H15*$D$12*2)</f>
        <v>0</v>
      </c>
      <c r="I31" s="395"/>
    </row>
    <row r="32" spans="1:9" ht="15" customHeight="1" x14ac:dyDescent="0.2">
      <c r="A32" s="413"/>
      <c r="B32" s="305" t="s">
        <v>168</v>
      </c>
      <c r="C32" s="313"/>
      <c r="D32" s="313"/>
      <c r="E32" s="313"/>
      <c r="F32" s="313"/>
      <c r="G32" s="306">
        <f t="shared" ref="G32:H32" si="7">G16+(G16*$D$12*2)</f>
        <v>0</v>
      </c>
      <c r="H32" s="306">
        <f t="shared" si="7"/>
        <v>0</v>
      </c>
      <c r="I32" s="395"/>
    </row>
    <row r="33" spans="1:9" ht="15.75" thickBot="1" x14ac:dyDescent="0.3">
      <c r="A33" s="414"/>
      <c r="B33" s="307" t="s">
        <v>81</v>
      </c>
      <c r="C33" s="311"/>
      <c r="D33" s="311"/>
      <c r="E33" s="311"/>
      <c r="F33" s="311"/>
      <c r="G33" s="308">
        <f>SUM(G30:G32)</f>
        <v>0</v>
      </c>
      <c r="H33" s="308">
        <f>SUM(H30:H32)</f>
        <v>0</v>
      </c>
      <c r="I33" s="396"/>
    </row>
    <row r="34" spans="1:9" ht="15" customHeight="1" x14ac:dyDescent="0.2">
      <c r="A34" s="412" t="s">
        <v>175</v>
      </c>
      <c r="B34" s="303" t="s">
        <v>166</v>
      </c>
      <c r="C34" s="312"/>
      <c r="D34" s="312"/>
      <c r="E34" s="312"/>
      <c r="F34" s="312"/>
      <c r="G34" s="312"/>
      <c r="H34" s="304">
        <f>H14+(H14*$D$12*2.5)</f>
        <v>0</v>
      </c>
      <c r="I34" s="394">
        <f>DATE(YEAR($I$14),MONTH($I$14)+30,DAY($I$14))</f>
        <v>46569</v>
      </c>
    </row>
    <row r="35" spans="1:9" ht="15" customHeight="1" x14ac:dyDescent="0.2">
      <c r="A35" s="413"/>
      <c r="B35" s="305" t="s">
        <v>167</v>
      </c>
      <c r="C35" s="313"/>
      <c r="D35" s="313"/>
      <c r="E35" s="313"/>
      <c r="F35" s="313"/>
      <c r="G35" s="313"/>
      <c r="H35" s="306">
        <f>H15+(H15*$D$12*2.5)</f>
        <v>0</v>
      </c>
      <c r="I35" s="395"/>
    </row>
    <row r="36" spans="1:9" ht="15" customHeight="1" x14ac:dyDescent="0.2">
      <c r="A36" s="413"/>
      <c r="B36" s="305" t="s">
        <v>168</v>
      </c>
      <c r="C36" s="313"/>
      <c r="D36" s="313"/>
      <c r="E36" s="313"/>
      <c r="F36" s="313"/>
      <c r="G36" s="313"/>
      <c r="H36" s="306">
        <f>H16+(H16*$D$12*2.5)</f>
        <v>0</v>
      </c>
      <c r="I36" s="395"/>
    </row>
    <row r="37" spans="1:9" ht="15.75" thickBot="1" x14ac:dyDescent="0.3">
      <c r="A37" s="414"/>
      <c r="B37" s="307" t="s">
        <v>81</v>
      </c>
      <c r="C37" s="311"/>
      <c r="D37" s="311"/>
      <c r="E37" s="311"/>
      <c r="F37" s="311"/>
      <c r="G37" s="311"/>
      <c r="H37" s="308">
        <f>SUM(H34:H36)</f>
        <v>0</v>
      </c>
      <c r="I37" s="396"/>
    </row>
    <row r="38" spans="1:9" ht="26.25" thickBot="1" x14ac:dyDescent="0.25">
      <c r="A38" s="314" t="s">
        <v>153</v>
      </c>
      <c r="B38" s="315"/>
      <c r="C38" s="316">
        <v>0</v>
      </c>
      <c r="D38" s="316">
        <f>D21</f>
        <v>0</v>
      </c>
      <c r="E38" s="316">
        <f>E21+E25</f>
        <v>0</v>
      </c>
      <c r="F38" s="316">
        <f>F21+F25+F29</f>
        <v>0</v>
      </c>
      <c r="G38" s="316">
        <f>G21+G25+G29+G33</f>
        <v>0</v>
      </c>
      <c r="H38" s="316">
        <f>H21+H25+H29+H33+H37</f>
        <v>0</v>
      </c>
      <c r="I38" s="317"/>
    </row>
    <row r="39" spans="1:9" x14ac:dyDescent="0.2">
      <c r="A39" s="274"/>
      <c r="B39" s="274"/>
      <c r="C39" s="274"/>
      <c r="D39" s="274"/>
      <c r="E39" s="274"/>
      <c r="F39" s="274"/>
      <c r="G39" s="274"/>
      <c r="H39" s="274"/>
      <c r="I39" s="274"/>
    </row>
    <row r="40" spans="1:9" ht="5.0999999999999996" customHeight="1" x14ac:dyDescent="0.2"/>
    <row r="41" spans="1:9" ht="13.5" thickBot="1" x14ac:dyDescent="0.25"/>
    <row r="42" spans="1:9" ht="12.75" customHeight="1" x14ac:dyDescent="0.2">
      <c r="A42" s="409" t="s">
        <v>198</v>
      </c>
      <c r="B42" s="410"/>
      <c r="C42" s="410"/>
      <c r="D42" s="410"/>
      <c r="E42" s="410"/>
      <c r="F42" s="410"/>
      <c r="G42" s="410"/>
      <c r="H42" s="410"/>
      <c r="I42" s="411"/>
    </row>
    <row r="43" spans="1:9" ht="42" customHeight="1" x14ac:dyDescent="0.2">
      <c r="A43" s="397" t="s">
        <v>199</v>
      </c>
      <c r="B43" s="398"/>
      <c r="C43" s="398"/>
      <c r="D43" s="398"/>
      <c r="E43" s="398"/>
      <c r="F43" s="398"/>
      <c r="G43" s="398"/>
      <c r="H43" s="398"/>
      <c r="I43" s="399"/>
    </row>
    <row r="44" spans="1:9" ht="42" customHeight="1" x14ac:dyDescent="0.2">
      <c r="A44" s="397" t="s">
        <v>200</v>
      </c>
      <c r="B44" s="400"/>
      <c r="C44" s="400"/>
      <c r="D44" s="400"/>
      <c r="E44" s="400"/>
      <c r="F44" s="400"/>
      <c r="G44" s="400"/>
      <c r="H44" s="400"/>
      <c r="I44" s="401"/>
    </row>
    <row r="45" spans="1:9" ht="52.5" customHeight="1" thickBot="1" x14ac:dyDescent="0.25">
      <c r="A45" s="402" t="s">
        <v>201</v>
      </c>
      <c r="B45" s="403"/>
      <c r="C45" s="403"/>
      <c r="D45" s="403"/>
      <c r="E45" s="403"/>
      <c r="F45" s="403"/>
      <c r="G45" s="403"/>
      <c r="H45" s="403"/>
      <c r="I45" s="404"/>
    </row>
    <row r="47" spans="1:9" x14ac:dyDescent="0.2">
      <c r="A47" s="268" t="s">
        <v>209</v>
      </c>
    </row>
  </sheetData>
  <sheetProtection sheet="1" selectLockedCells="1"/>
  <mergeCells count="19">
    <mergeCell ref="A1:I1"/>
    <mergeCell ref="A2:I2"/>
    <mergeCell ref="A7:C7"/>
    <mergeCell ref="A42:I42"/>
    <mergeCell ref="A14:A17"/>
    <mergeCell ref="I14:I17"/>
    <mergeCell ref="A30:A33"/>
    <mergeCell ref="A34:A37"/>
    <mergeCell ref="I34:I37"/>
    <mergeCell ref="I30:I33"/>
    <mergeCell ref="A18:A21"/>
    <mergeCell ref="I18:I21"/>
    <mergeCell ref="A22:A25"/>
    <mergeCell ref="A26:A29"/>
    <mergeCell ref="I22:I25"/>
    <mergeCell ref="I26:I29"/>
    <mergeCell ref="A43:I43"/>
    <mergeCell ref="A44:I44"/>
    <mergeCell ref="A45:I45"/>
  </mergeCells>
  <phoneticPr fontId="22" type="noConversion"/>
  <hyperlinks>
    <hyperlink ref="A47" r:id="rId1"/>
  </hyperlinks>
  <pageMargins left="0.59055118110236227" right="0.59055118110236227" top="0.98425196850393704" bottom="0.98425196850393704" header="0.51181102362204722" footer="0.51181102362204722"/>
  <pageSetup paperSize="9" scale="76" fitToHeight="3" orientation="portrait" r:id="rId2"/>
  <headerFooter alignWithMargins="0">
    <oddHeader>&amp;LComune di Lastra a Signa</oddHeader>
    <oddFooter>&amp;LPiano di rateizzazione in caso di SCIA/CILA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pageSetUpPr fitToPage="1"/>
  </sheetPr>
  <dimension ref="A1:I46"/>
  <sheetViews>
    <sheetView zoomScale="115" zoomScaleNormal="115" workbookViewId="0">
      <selection activeCell="A46" sqref="A46"/>
    </sheetView>
  </sheetViews>
  <sheetFormatPr defaultRowHeight="12.75" x14ac:dyDescent="0.2"/>
  <cols>
    <col min="1" max="1" width="17.5703125" customWidth="1"/>
    <col min="2" max="2" width="3.28515625" customWidth="1"/>
    <col min="3" max="3" width="14" customWidth="1"/>
    <col min="4" max="8" width="13.7109375" customWidth="1"/>
    <col min="9" max="9" width="25.85546875" customWidth="1"/>
  </cols>
  <sheetData>
    <row r="1" spans="1:9" ht="18" x14ac:dyDescent="0.25">
      <c r="A1" s="421" t="s">
        <v>154</v>
      </c>
      <c r="B1" s="421"/>
      <c r="C1" s="421"/>
      <c r="D1" s="421"/>
      <c r="E1" s="421"/>
      <c r="F1" s="421"/>
      <c r="G1" s="421"/>
      <c r="H1" s="421"/>
      <c r="I1" s="421"/>
    </row>
    <row r="2" spans="1:9" ht="13.5" thickBot="1" x14ac:dyDescent="0.25"/>
    <row r="3" spans="1:9" ht="13.5" thickBot="1" x14ac:dyDescent="0.25">
      <c r="A3" s="141" t="s">
        <v>140</v>
      </c>
      <c r="B3" s="178"/>
      <c r="C3" s="142"/>
      <c r="D3" s="143"/>
      <c r="E3" s="116"/>
      <c r="F3" s="116"/>
      <c r="H3" s="174"/>
      <c r="I3" s="175"/>
    </row>
    <row r="4" spans="1:9" x14ac:dyDescent="0.2">
      <c r="A4" s="145"/>
      <c r="B4" s="179"/>
      <c r="C4" s="266" t="s">
        <v>207</v>
      </c>
      <c r="D4" s="171">
        <f>'TABELLA RIEPILOGATIVA'!E6+'TABELLA RIEPILOGATIVA'!E10</f>
        <v>0</v>
      </c>
      <c r="E4" s="146"/>
      <c r="F4" s="147"/>
    </row>
    <row r="5" spans="1:9" ht="13.5" thickBot="1" x14ac:dyDescent="0.25">
      <c r="A5" s="148"/>
      <c r="B5" s="180"/>
      <c r="C5" s="267" t="s">
        <v>208</v>
      </c>
      <c r="D5" s="172">
        <f>'TABELLA RIEPILOGATIVA'!E7+'TABELLA RIEPILOGATIVA'!E11</f>
        <v>0</v>
      </c>
      <c r="E5" s="146"/>
      <c r="F5" s="147"/>
    </row>
    <row r="6" spans="1:9" x14ac:dyDescent="0.2">
      <c r="A6" s="422" t="s">
        <v>142</v>
      </c>
      <c r="B6" s="423"/>
      <c r="C6" s="424"/>
      <c r="D6" s="149">
        <f>SUM(D4:D5)</f>
        <v>0</v>
      </c>
      <c r="E6" s="146"/>
      <c r="F6" s="147"/>
    </row>
    <row r="7" spans="1:9" ht="13.5" thickBot="1" x14ac:dyDescent="0.25">
      <c r="A7" s="261" t="s">
        <v>202</v>
      </c>
      <c r="B7" s="181"/>
      <c r="C7" s="150"/>
      <c r="D7" s="172">
        <f>'TABELLA RIEPILOGATIVA'!E14</f>
        <v>0</v>
      </c>
      <c r="E7" s="146"/>
      <c r="F7" s="147"/>
    </row>
    <row r="8" spans="1:9" ht="5.0999999999999996" customHeight="1" thickBot="1" x14ac:dyDescent="0.25"/>
    <row r="9" spans="1:9" x14ac:dyDescent="0.2">
      <c r="A9" s="425" t="s">
        <v>160</v>
      </c>
      <c r="B9" s="426"/>
      <c r="C9" s="426"/>
      <c r="D9" s="426"/>
      <c r="E9" s="426"/>
      <c r="F9" s="426"/>
      <c r="G9" s="426"/>
      <c r="H9" s="426"/>
      <c r="I9" s="427"/>
    </row>
    <row r="10" spans="1:9" x14ac:dyDescent="0.2">
      <c r="A10" s="151" t="s">
        <v>143</v>
      </c>
      <c r="B10" s="152"/>
      <c r="C10" s="152"/>
      <c r="D10" s="153">
        <f>D6+D7</f>
        <v>0</v>
      </c>
      <c r="E10" s="116"/>
      <c r="F10" s="116"/>
      <c r="G10" s="116"/>
      <c r="H10" s="116"/>
      <c r="I10" s="154"/>
    </row>
    <row r="11" spans="1:9" ht="13.5" thickBot="1" x14ac:dyDescent="0.25">
      <c r="A11" s="155" t="s">
        <v>144</v>
      </c>
      <c r="B11" s="156"/>
      <c r="C11" s="156"/>
      <c r="D11" s="319">
        <v>0.02</v>
      </c>
      <c r="E11" s="116"/>
      <c r="F11" s="116"/>
      <c r="G11" s="116"/>
      <c r="H11" s="116"/>
      <c r="I11" s="154"/>
    </row>
    <row r="12" spans="1:9" ht="15.75" thickBot="1" x14ac:dyDescent="0.25">
      <c r="A12" s="182" t="s">
        <v>145</v>
      </c>
      <c r="B12" s="183"/>
      <c r="C12" s="184" t="s">
        <v>146</v>
      </c>
      <c r="D12" s="184" t="s">
        <v>147</v>
      </c>
      <c r="E12" s="184" t="s">
        <v>148</v>
      </c>
      <c r="F12" s="184" t="s">
        <v>149</v>
      </c>
      <c r="G12" s="184" t="s">
        <v>150</v>
      </c>
      <c r="H12" s="184" t="s">
        <v>151</v>
      </c>
      <c r="I12" s="185" t="s">
        <v>152</v>
      </c>
    </row>
    <row r="13" spans="1:9" ht="15" customHeight="1" x14ac:dyDescent="0.2">
      <c r="A13" s="431" t="s">
        <v>170</v>
      </c>
      <c r="B13" s="192" t="s">
        <v>166</v>
      </c>
      <c r="C13" s="198">
        <f>$D$4</f>
        <v>0</v>
      </c>
      <c r="D13" s="198">
        <f>$D$4/2</f>
        <v>0</v>
      </c>
      <c r="E13" s="198">
        <f>$D$4/3</f>
        <v>0</v>
      </c>
      <c r="F13" s="198">
        <f>$D$4/4</f>
        <v>0</v>
      </c>
      <c r="G13" s="198">
        <f>$D$4/5</f>
        <v>0</v>
      </c>
      <c r="H13" s="198">
        <f>$D$4/6</f>
        <v>0</v>
      </c>
      <c r="I13" s="434" t="s">
        <v>169</v>
      </c>
    </row>
    <row r="14" spans="1:9" ht="15" customHeight="1" x14ac:dyDescent="0.2">
      <c r="A14" s="432"/>
      <c r="B14" s="193" t="s">
        <v>167</v>
      </c>
      <c r="C14" s="199">
        <f>$D$5</f>
        <v>0</v>
      </c>
      <c r="D14" s="199">
        <f>$D$5/2</f>
        <v>0</v>
      </c>
      <c r="E14" s="199">
        <f>$D$5/3</f>
        <v>0</v>
      </c>
      <c r="F14" s="199">
        <f>$D$5/4</f>
        <v>0</v>
      </c>
      <c r="G14" s="199">
        <f>$D$5/5</f>
        <v>0</v>
      </c>
      <c r="H14" s="199">
        <f>$D$5/6</f>
        <v>0</v>
      </c>
      <c r="I14" s="435"/>
    </row>
    <row r="15" spans="1:9" ht="15" customHeight="1" x14ac:dyDescent="0.2">
      <c r="A15" s="432"/>
      <c r="B15" s="193" t="s">
        <v>168</v>
      </c>
      <c r="C15" s="199">
        <f>$D$7</f>
        <v>0</v>
      </c>
      <c r="D15" s="199">
        <f>$D$7/2</f>
        <v>0</v>
      </c>
      <c r="E15" s="199">
        <f>$D$7/3</f>
        <v>0</v>
      </c>
      <c r="F15" s="199">
        <f>$D$7/4</f>
        <v>0</v>
      </c>
      <c r="G15" s="199">
        <f>$D$7/5</f>
        <v>0</v>
      </c>
      <c r="H15" s="199">
        <f>$D$7/6</f>
        <v>0</v>
      </c>
      <c r="I15" s="435"/>
    </row>
    <row r="16" spans="1:9" ht="15" customHeight="1" thickBot="1" x14ac:dyDescent="0.3">
      <c r="A16" s="433"/>
      <c r="B16" s="186" t="s">
        <v>81</v>
      </c>
      <c r="C16" s="200">
        <f t="shared" ref="C16:H16" si="0">SUM(C13:C15)</f>
        <v>0</v>
      </c>
      <c r="D16" s="200">
        <f t="shared" si="0"/>
        <v>0</v>
      </c>
      <c r="E16" s="200">
        <f t="shared" si="0"/>
        <v>0</v>
      </c>
      <c r="F16" s="200">
        <f t="shared" si="0"/>
        <v>0</v>
      </c>
      <c r="G16" s="200">
        <f t="shared" si="0"/>
        <v>0</v>
      </c>
      <c r="H16" s="200">
        <f t="shared" si="0"/>
        <v>0</v>
      </c>
      <c r="I16" s="436"/>
    </row>
    <row r="17" spans="1:9" ht="15" customHeight="1" x14ac:dyDescent="0.2">
      <c r="A17" s="431" t="s">
        <v>171</v>
      </c>
      <c r="B17" s="192" t="s">
        <v>166</v>
      </c>
      <c r="C17" s="194"/>
      <c r="D17" s="198">
        <f t="shared" ref="D17:H18" si="1">D13+(D13*$D$11/2)</f>
        <v>0</v>
      </c>
      <c r="E17" s="198">
        <f t="shared" si="1"/>
        <v>0</v>
      </c>
      <c r="F17" s="198">
        <f t="shared" si="1"/>
        <v>0</v>
      </c>
      <c r="G17" s="198">
        <f t="shared" si="1"/>
        <v>0</v>
      </c>
      <c r="H17" s="198">
        <f t="shared" si="1"/>
        <v>0</v>
      </c>
      <c r="I17" s="437" t="s">
        <v>161</v>
      </c>
    </row>
    <row r="18" spans="1:9" ht="15" customHeight="1" x14ac:dyDescent="0.2">
      <c r="A18" s="432"/>
      <c r="B18" s="193" t="s">
        <v>167</v>
      </c>
      <c r="C18" s="195"/>
      <c r="D18" s="199">
        <f t="shared" si="1"/>
        <v>0</v>
      </c>
      <c r="E18" s="199">
        <f t="shared" si="1"/>
        <v>0</v>
      </c>
      <c r="F18" s="199">
        <f t="shared" si="1"/>
        <v>0</v>
      </c>
      <c r="G18" s="199">
        <f t="shared" si="1"/>
        <v>0</v>
      </c>
      <c r="H18" s="199">
        <f t="shared" si="1"/>
        <v>0</v>
      </c>
      <c r="I18" s="438"/>
    </row>
    <row r="19" spans="1:9" ht="15" customHeight="1" x14ac:dyDescent="0.2">
      <c r="A19" s="432"/>
      <c r="B19" s="193" t="s">
        <v>168</v>
      </c>
      <c r="C19" s="195"/>
      <c r="D19" s="199">
        <f t="shared" ref="D19:E19" si="2">D15+(D15*$D$11/2)</f>
        <v>0</v>
      </c>
      <c r="E19" s="199">
        <f t="shared" si="2"/>
        <v>0</v>
      </c>
      <c r="F19" s="199">
        <f t="shared" ref="F19:H19" si="3">F15+(F15*$D$11/2)</f>
        <v>0</v>
      </c>
      <c r="G19" s="199">
        <f t="shared" si="3"/>
        <v>0</v>
      </c>
      <c r="H19" s="199">
        <f t="shared" si="3"/>
        <v>0</v>
      </c>
      <c r="I19" s="438"/>
    </row>
    <row r="20" spans="1:9" ht="15" customHeight="1" thickBot="1" x14ac:dyDescent="0.3">
      <c r="A20" s="433"/>
      <c r="B20" s="186" t="s">
        <v>81</v>
      </c>
      <c r="C20" s="191"/>
      <c r="D20" s="200">
        <f>SUM(D17:D19)</f>
        <v>0</v>
      </c>
      <c r="E20" s="200">
        <f>SUM(E17:E19)</f>
        <v>0</v>
      </c>
      <c r="F20" s="200">
        <f>SUM(F17:F19)</f>
        <v>0</v>
      </c>
      <c r="G20" s="200">
        <f>SUM(G17:G19)</f>
        <v>0</v>
      </c>
      <c r="H20" s="200">
        <f>SUM(H17:H19)</f>
        <v>0</v>
      </c>
      <c r="I20" s="439"/>
    </row>
    <row r="21" spans="1:9" ht="15" customHeight="1" x14ac:dyDescent="0.2">
      <c r="A21" s="431" t="s">
        <v>172</v>
      </c>
      <c r="B21" s="192" t="s">
        <v>166</v>
      </c>
      <c r="C21" s="194"/>
      <c r="D21" s="194"/>
      <c r="E21" s="198">
        <f t="shared" ref="E21:H22" si="4">E13+(E13*$D$11)</f>
        <v>0</v>
      </c>
      <c r="F21" s="198">
        <f t="shared" si="4"/>
        <v>0</v>
      </c>
      <c r="G21" s="198">
        <f t="shared" si="4"/>
        <v>0</v>
      </c>
      <c r="H21" s="198">
        <f t="shared" si="4"/>
        <v>0</v>
      </c>
      <c r="I21" s="437" t="s">
        <v>162</v>
      </c>
    </row>
    <row r="22" spans="1:9" ht="15" customHeight="1" x14ac:dyDescent="0.2">
      <c r="A22" s="432"/>
      <c r="B22" s="193" t="s">
        <v>167</v>
      </c>
      <c r="C22" s="195"/>
      <c r="D22" s="195"/>
      <c r="E22" s="199">
        <f t="shared" si="4"/>
        <v>0</v>
      </c>
      <c r="F22" s="199">
        <f t="shared" si="4"/>
        <v>0</v>
      </c>
      <c r="G22" s="199">
        <f t="shared" si="4"/>
        <v>0</v>
      </c>
      <c r="H22" s="199">
        <f t="shared" si="4"/>
        <v>0</v>
      </c>
      <c r="I22" s="438"/>
    </row>
    <row r="23" spans="1:9" ht="15" customHeight="1" x14ac:dyDescent="0.2">
      <c r="A23" s="432"/>
      <c r="B23" s="193" t="s">
        <v>168</v>
      </c>
      <c r="C23" s="195"/>
      <c r="D23" s="195"/>
      <c r="E23" s="199">
        <f t="shared" ref="E23:H23" si="5">E15+(E15*$D$11)</f>
        <v>0</v>
      </c>
      <c r="F23" s="199">
        <f t="shared" si="5"/>
        <v>0</v>
      </c>
      <c r="G23" s="199">
        <f t="shared" si="5"/>
        <v>0</v>
      </c>
      <c r="H23" s="199">
        <f t="shared" si="5"/>
        <v>0</v>
      </c>
      <c r="I23" s="438"/>
    </row>
    <row r="24" spans="1:9" ht="15.75" thickBot="1" x14ac:dyDescent="0.3">
      <c r="A24" s="433"/>
      <c r="B24" s="186" t="s">
        <v>81</v>
      </c>
      <c r="C24" s="191"/>
      <c r="D24" s="191"/>
      <c r="E24" s="200">
        <f>SUM(E21:E23)</f>
        <v>0</v>
      </c>
      <c r="F24" s="200">
        <f>SUM(F21:F23)</f>
        <v>0</v>
      </c>
      <c r="G24" s="200">
        <f>SUM(G21:G23)</f>
        <v>0</v>
      </c>
      <c r="H24" s="200">
        <f>SUM(H21:H23)</f>
        <v>0</v>
      </c>
      <c r="I24" s="439"/>
    </row>
    <row r="25" spans="1:9" ht="15" customHeight="1" x14ac:dyDescent="0.2">
      <c r="A25" s="431" t="s">
        <v>173</v>
      </c>
      <c r="B25" s="192" t="s">
        <v>166</v>
      </c>
      <c r="C25" s="194"/>
      <c r="D25" s="194"/>
      <c r="E25" s="194"/>
      <c r="F25" s="198">
        <f t="shared" ref="F25:H26" si="6">F13+(F13*$D$11*1.5)</f>
        <v>0</v>
      </c>
      <c r="G25" s="198">
        <f t="shared" si="6"/>
        <v>0</v>
      </c>
      <c r="H25" s="198">
        <f t="shared" si="6"/>
        <v>0</v>
      </c>
      <c r="I25" s="437" t="s">
        <v>163</v>
      </c>
    </row>
    <row r="26" spans="1:9" ht="15" customHeight="1" x14ac:dyDescent="0.2">
      <c r="A26" s="432"/>
      <c r="B26" s="193" t="s">
        <v>167</v>
      </c>
      <c r="C26" s="195"/>
      <c r="D26" s="195"/>
      <c r="E26" s="195"/>
      <c r="F26" s="199">
        <f t="shared" si="6"/>
        <v>0</v>
      </c>
      <c r="G26" s="199">
        <f t="shared" si="6"/>
        <v>0</v>
      </c>
      <c r="H26" s="199">
        <f t="shared" si="6"/>
        <v>0</v>
      </c>
      <c r="I26" s="438"/>
    </row>
    <row r="27" spans="1:9" ht="15" customHeight="1" x14ac:dyDescent="0.2">
      <c r="A27" s="432"/>
      <c r="B27" s="193" t="s">
        <v>168</v>
      </c>
      <c r="C27" s="195"/>
      <c r="D27" s="195"/>
      <c r="E27" s="195"/>
      <c r="F27" s="199">
        <f t="shared" ref="F27:H27" si="7">F15+(F15*$D$11*1.5)</f>
        <v>0</v>
      </c>
      <c r="G27" s="199">
        <f t="shared" si="7"/>
        <v>0</v>
      </c>
      <c r="H27" s="199">
        <f t="shared" si="7"/>
        <v>0</v>
      </c>
      <c r="I27" s="438"/>
    </row>
    <row r="28" spans="1:9" ht="15.75" thickBot="1" x14ac:dyDescent="0.3">
      <c r="A28" s="433"/>
      <c r="B28" s="186" t="s">
        <v>81</v>
      </c>
      <c r="C28" s="191"/>
      <c r="D28" s="191"/>
      <c r="E28" s="191"/>
      <c r="F28" s="200">
        <f>SUM(F25:F27)</f>
        <v>0</v>
      </c>
      <c r="G28" s="200">
        <f>SUM(G25:G27)</f>
        <v>0</v>
      </c>
      <c r="H28" s="200">
        <f>SUM(H25:H27)</f>
        <v>0</v>
      </c>
      <c r="I28" s="439"/>
    </row>
    <row r="29" spans="1:9" ht="15" customHeight="1" x14ac:dyDescent="0.2">
      <c r="A29" s="431" t="s">
        <v>174</v>
      </c>
      <c r="B29" s="192" t="s">
        <v>166</v>
      </c>
      <c r="C29" s="194"/>
      <c r="D29" s="194"/>
      <c r="E29" s="194"/>
      <c r="F29" s="194"/>
      <c r="G29" s="198">
        <f>G13+(G13*$D$11*2)</f>
        <v>0</v>
      </c>
      <c r="H29" s="198">
        <f>H13+(H13*$D$11*2)</f>
        <v>0</v>
      </c>
      <c r="I29" s="437" t="s">
        <v>164</v>
      </c>
    </row>
    <row r="30" spans="1:9" ht="15" customHeight="1" x14ac:dyDescent="0.2">
      <c r="A30" s="432"/>
      <c r="B30" s="193" t="s">
        <v>167</v>
      </c>
      <c r="C30" s="195"/>
      <c r="D30" s="195"/>
      <c r="E30" s="195"/>
      <c r="F30" s="195"/>
      <c r="G30" s="199">
        <f>G14+(G14*$D$11*2)</f>
        <v>0</v>
      </c>
      <c r="H30" s="199">
        <f>H14+(H14*$D$11*2)</f>
        <v>0</v>
      </c>
      <c r="I30" s="438"/>
    </row>
    <row r="31" spans="1:9" ht="15" customHeight="1" x14ac:dyDescent="0.2">
      <c r="A31" s="432"/>
      <c r="B31" s="193" t="s">
        <v>168</v>
      </c>
      <c r="C31" s="195"/>
      <c r="D31" s="195"/>
      <c r="E31" s="195"/>
      <c r="F31" s="195"/>
      <c r="G31" s="199">
        <f t="shared" ref="G31:H31" si="8">G15+(G15*$D$11*2)</f>
        <v>0</v>
      </c>
      <c r="H31" s="199">
        <f t="shared" si="8"/>
        <v>0</v>
      </c>
      <c r="I31" s="438"/>
    </row>
    <row r="32" spans="1:9" ht="15.75" thickBot="1" x14ac:dyDescent="0.3">
      <c r="A32" s="433"/>
      <c r="B32" s="186" t="s">
        <v>81</v>
      </c>
      <c r="C32" s="191"/>
      <c r="D32" s="191"/>
      <c r="E32" s="191"/>
      <c r="F32" s="191"/>
      <c r="G32" s="200">
        <f>SUM(G29:G31)</f>
        <v>0</v>
      </c>
      <c r="H32" s="200">
        <f>SUM(H29:H31)</f>
        <v>0</v>
      </c>
      <c r="I32" s="439"/>
    </row>
    <row r="33" spans="1:9" ht="15" customHeight="1" x14ac:dyDescent="0.2">
      <c r="A33" s="431" t="s">
        <v>175</v>
      </c>
      <c r="B33" s="192" t="s">
        <v>166</v>
      </c>
      <c r="C33" s="194"/>
      <c r="D33" s="194"/>
      <c r="E33" s="194"/>
      <c r="F33" s="194"/>
      <c r="G33" s="196"/>
      <c r="H33" s="198">
        <f>H13+(H13*$D$11*2.5)</f>
        <v>0</v>
      </c>
      <c r="I33" s="437" t="s">
        <v>165</v>
      </c>
    </row>
    <row r="34" spans="1:9" ht="15" customHeight="1" x14ac:dyDescent="0.2">
      <c r="A34" s="432"/>
      <c r="B34" s="193" t="s">
        <v>167</v>
      </c>
      <c r="C34" s="195"/>
      <c r="D34" s="195"/>
      <c r="E34" s="195"/>
      <c r="F34" s="195"/>
      <c r="G34" s="197"/>
      <c r="H34" s="199">
        <f>H14+(H14*$D$11*2.5)</f>
        <v>0</v>
      </c>
      <c r="I34" s="438"/>
    </row>
    <row r="35" spans="1:9" ht="15" customHeight="1" x14ac:dyDescent="0.2">
      <c r="A35" s="432"/>
      <c r="B35" s="193" t="s">
        <v>168</v>
      </c>
      <c r="C35" s="195"/>
      <c r="D35" s="195"/>
      <c r="E35" s="195"/>
      <c r="F35" s="195"/>
      <c r="G35" s="197"/>
      <c r="H35" s="199">
        <f>H15+(H15*$D$11*2.5)</f>
        <v>0</v>
      </c>
      <c r="I35" s="438"/>
    </row>
    <row r="36" spans="1:9" ht="15.75" thickBot="1" x14ac:dyDescent="0.3">
      <c r="A36" s="433"/>
      <c r="B36" s="186" t="s">
        <v>81</v>
      </c>
      <c r="C36" s="191"/>
      <c r="D36" s="191"/>
      <c r="E36" s="191"/>
      <c r="F36" s="191"/>
      <c r="G36" s="191"/>
      <c r="H36" s="200">
        <f>SUM(H33:H35)</f>
        <v>0</v>
      </c>
      <c r="I36" s="439"/>
    </row>
    <row r="37" spans="1:9" ht="26.25" thickBot="1" x14ac:dyDescent="0.25">
      <c r="A37" s="187" t="s">
        <v>153</v>
      </c>
      <c r="B37" s="188"/>
      <c r="C37" s="189">
        <v>0</v>
      </c>
      <c r="D37" s="189">
        <f>D20</f>
        <v>0</v>
      </c>
      <c r="E37" s="189">
        <f>E20+E24</f>
        <v>0</v>
      </c>
      <c r="F37" s="189">
        <f>F20+F24+F28</f>
        <v>0</v>
      </c>
      <c r="G37" s="189">
        <f>G20+G24+G28+G32</f>
        <v>0</v>
      </c>
      <c r="H37" s="189">
        <f>H20+H24+H28+H32+H36</f>
        <v>0</v>
      </c>
      <c r="I37" s="190"/>
    </row>
    <row r="38" spans="1:9" ht="13.5" thickBot="1" x14ac:dyDescent="0.25">
      <c r="A38" s="157"/>
      <c r="B38" s="158"/>
      <c r="C38" s="158"/>
      <c r="D38" s="158"/>
      <c r="E38" s="158"/>
      <c r="F38" s="158"/>
      <c r="G38" s="158"/>
      <c r="H38" s="158"/>
      <c r="I38" s="159"/>
    </row>
    <row r="39" spans="1:9" ht="5.0999999999999996" customHeight="1" x14ac:dyDescent="0.2"/>
    <row r="40" spans="1:9" ht="13.5" thickBot="1" x14ac:dyDescent="0.25"/>
    <row r="41" spans="1:9" ht="12.75" customHeight="1" x14ac:dyDescent="0.2">
      <c r="A41" s="428" t="s">
        <v>198</v>
      </c>
      <c r="B41" s="429"/>
      <c r="C41" s="429"/>
      <c r="D41" s="429"/>
      <c r="E41" s="429"/>
      <c r="F41" s="429"/>
      <c r="G41" s="429"/>
      <c r="H41" s="429"/>
      <c r="I41" s="430"/>
    </row>
    <row r="42" spans="1:9" ht="42" customHeight="1" x14ac:dyDescent="0.2">
      <c r="A42" s="415" t="s">
        <v>199</v>
      </c>
      <c r="B42" s="440"/>
      <c r="C42" s="440"/>
      <c r="D42" s="440"/>
      <c r="E42" s="440"/>
      <c r="F42" s="440"/>
      <c r="G42" s="440"/>
      <c r="H42" s="440"/>
      <c r="I42" s="441"/>
    </row>
    <row r="43" spans="1:9" ht="42" customHeight="1" x14ac:dyDescent="0.2">
      <c r="A43" s="415" t="s">
        <v>200</v>
      </c>
      <c r="B43" s="416"/>
      <c r="C43" s="416"/>
      <c r="D43" s="416"/>
      <c r="E43" s="416"/>
      <c r="F43" s="416"/>
      <c r="G43" s="416"/>
      <c r="H43" s="416"/>
      <c r="I43" s="417"/>
    </row>
    <row r="44" spans="1:9" ht="52.5" customHeight="1" thickBot="1" x14ac:dyDescent="0.25">
      <c r="A44" s="418" t="s">
        <v>201</v>
      </c>
      <c r="B44" s="419"/>
      <c r="C44" s="419"/>
      <c r="D44" s="419"/>
      <c r="E44" s="419"/>
      <c r="F44" s="419"/>
      <c r="G44" s="419"/>
      <c r="H44" s="419"/>
      <c r="I44" s="420"/>
    </row>
    <row r="46" spans="1:9" x14ac:dyDescent="0.2">
      <c r="A46" s="268" t="s">
        <v>209</v>
      </c>
    </row>
  </sheetData>
  <sheetProtection sheet="1" selectLockedCells="1"/>
  <mergeCells count="19">
    <mergeCell ref="A29:A32"/>
    <mergeCell ref="I29:I32"/>
    <mergeCell ref="A42:I42"/>
    <mergeCell ref="A43:I43"/>
    <mergeCell ref="A44:I44"/>
    <mergeCell ref="A1:I1"/>
    <mergeCell ref="A6:C6"/>
    <mergeCell ref="A9:I9"/>
    <mergeCell ref="A41:I41"/>
    <mergeCell ref="A13:A16"/>
    <mergeCell ref="I13:I16"/>
    <mergeCell ref="A17:A20"/>
    <mergeCell ref="I17:I20"/>
    <mergeCell ref="A21:A24"/>
    <mergeCell ref="I21:I24"/>
    <mergeCell ref="A33:A36"/>
    <mergeCell ref="I33:I36"/>
    <mergeCell ref="A25:A28"/>
    <mergeCell ref="I25:I28"/>
  </mergeCells>
  <phoneticPr fontId="22" type="noConversion"/>
  <hyperlinks>
    <hyperlink ref="A46" r:id="rId1"/>
  </hyperlinks>
  <printOptions horizontalCentered="1"/>
  <pageMargins left="0.59055118110236227" right="0.59055118110236227" top="0.98425196850393704" bottom="0.98425196850393704" header="0.51181102362204722" footer="0.51181102362204722"/>
  <pageSetup paperSize="9" scale="70" fitToHeight="3" orientation="portrait" r:id="rId2"/>
  <headerFooter alignWithMargins="0">
    <oddHeader>&amp;LComune di Lastra a Signa</oddHeader>
    <oddFooter>&amp;LPiano di rateizzazione in caso di Permesso di costruire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pageSetUpPr fitToPage="1"/>
  </sheetPr>
  <dimension ref="A1:L34"/>
  <sheetViews>
    <sheetView zoomScaleNormal="100" workbookViewId="0">
      <selection activeCell="B25" sqref="B25"/>
    </sheetView>
  </sheetViews>
  <sheetFormatPr defaultRowHeight="12.75" x14ac:dyDescent="0.2"/>
  <cols>
    <col min="1" max="1" width="44.7109375" style="116" customWidth="1"/>
    <col min="2" max="2" width="20.5703125" style="116" customWidth="1"/>
    <col min="3" max="3" width="13.28515625" style="116" customWidth="1"/>
    <col min="4" max="4" width="2.28515625" style="48" customWidth="1"/>
    <col min="5" max="5" width="14" style="116" customWidth="1"/>
    <col min="6" max="6" width="2.140625" style="48" customWidth="1"/>
    <col min="7" max="7" width="12.85546875" style="116" customWidth="1"/>
    <col min="8" max="8" width="2" style="48" customWidth="1"/>
    <col min="9" max="9" width="12.28515625" style="116" customWidth="1"/>
    <col min="10" max="10" width="2.140625" style="48" customWidth="1"/>
    <col min="11" max="11" width="13.42578125" style="116" customWidth="1"/>
    <col min="12" max="12" width="1.7109375" style="48" customWidth="1"/>
    <col min="13" max="256" width="9.140625" style="116"/>
    <col min="257" max="257" width="44.7109375" style="116" customWidth="1"/>
    <col min="258" max="258" width="20.5703125" style="116" customWidth="1"/>
    <col min="259" max="259" width="13.28515625" style="116" customWidth="1"/>
    <col min="260" max="260" width="2.28515625" style="116" customWidth="1"/>
    <col min="261" max="261" width="14" style="116" customWidth="1"/>
    <col min="262" max="262" width="2.140625" style="116" customWidth="1"/>
    <col min="263" max="263" width="12.85546875" style="116" customWidth="1"/>
    <col min="264" max="264" width="2" style="116" customWidth="1"/>
    <col min="265" max="265" width="12.28515625" style="116" customWidth="1"/>
    <col min="266" max="266" width="2.140625" style="116" customWidth="1"/>
    <col min="267" max="267" width="13.42578125" style="116" customWidth="1"/>
    <col min="268" max="268" width="1.7109375" style="116" customWidth="1"/>
    <col min="269" max="512" width="9.140625" style="116"/>
    <col min="513" max="513" width="44.7109375" style="116" customWidth="1"/>
    <col min="514" max="514" width="20.5703125" style="116" customWidth="1"/>
    <col min="515" max="515" width="13.28515625" style="116" customWidth="1"/>
    <col min="516" max="516" width="2.28515625" style="116" customWidth="1"/>
    <col min="517" max="517" width="14" style="116" customWidth="1"/>
    <col min="518" max="518" width="2.140625" style="116" customWidth="1"/>
    <col min="519" max="519" width="12.85546875" style="116" customWidth="1"/>
    <col min="520" max="520" width="2" style="116" customWidth="1"/>
    <col min="521" max="521" width="12.28515625" style="116" customWidth="1"/>
    <col min="522" max="522" width="2.140625" style="116" customWidth="1"/>
    <col min="523" max="523" width="13.42578125" style="116" customWidth="1"/>
    <col min="524" max="524" width="1.7109375" style="116" customWidth="1"/>
    <col min="525" max="768" width="9.140625" style="116"/>
    <col min="769" max="769" width="44.7109375" style="116" customWidth="1"/>
    <col min="770" max="770" width="20.5703125" style="116" customWidth="1"/>
    <col min="771" max="771" width="13.28515625" style="116" customWidth="1"/>
    <col min="772" max="772" width="2.28515625" style="116" customWidth="1"/>
    <col min="773" max="773" width="14" style="116" customWidth="1"/>
    <col min="774" max="774" width="2.140625" style="116" customWidth="1"/>
    <col min="775" max="775" width="12.85546875" style="116" customWidth="1"/>
    <col min="776" max="776" width="2" style="116" customWidth="1"/>
    <col min="777" max="777" width="12.28515625" style="116" customWidth="1"/>
    <col min="778" max="778" width="2.140625" style="116" customWidth="1"/>
    <col min="779" max="779" width="13.42578125" style="116" customWidth="1"/>
    <col min="780" max="780" width="1.7109375" style="116" customWidth="1"/>
    <col min="781" max="1024" width="9.140625" style="116"/>
    <col min="1025" max="1025" width="44.7109375" style="116" customWidth="1"/>
    <col min="1026" max="1026" width="20.5703125" style="116" customWidth="1"/>
    <col min="1027" max="1027" width="13.28515625" style="116" customWidth="1"/>
    <col min="1028" max="1028" width="2.28515625" style="116" customWidth="1"/>
    <col min="1029" max="1029" width="14" style="116" customWidth="1"/>
    <col min="1030" max="1030" width="2.140625" style="116" customWidth="1"/>
    <col min="1031" max="1031" width="12.85546875" style="116" customWidth="1"/>
    <col min="1032" max="1032" width="2" style="116" customWidth="1"/>
    <col min="1033" max="1033" width="12.28515625" style="116" customWidth="1"/>
    <col min="1034" max="1034" width="2.140625" style="116" customWidth="1"/>
    <col min="1035" max="1035" width="13.42578125" style="116" customWidth="1"/>
    <col min="1036" max="1036" width="1.7109375" style="116" customWidth="1"/>
    <col min="1037" max="1280" width="9.140625" style="116"/>
    <col min="1281" max="1281" width="44.7109375" style="116" customWidth="1"/>
    <col min="1282" max="1282" width="20.5703125" style="116" customWidth="1"/>
    <col min="1283" max="1283" width="13.28515625" style="116" customWidth="1"/>
    <col min="1284" max="1284" width="2.28515625" style="116" customWidth="1"/>
    <col min="1285" max="1285" width="14" style="116" customWidth="1"/>
    <col min="1286" max="1286" width="2.140625" style="116" customWidth="1"/>
    <col min="1287" max="1287" width="12.85546875" style="116" customWidth="1"/>
    <col min="1288" max="1288" width="2" style="116" customWidth="1"/>
    <col min="1289" max="1289" width="12.28515625" style="116" customWidth="1"/>
    <col min="1290" max="1290" width="2.140625" style="116" customWidth="1"/>
    <col min="1291" max="1291" width="13.42578125" style="116" customWidth="1"/>
    <col min="1292" max="1292" width="1.7109375" style="116" customWidth="1"/>
    <col min="1293" max="1536" width="9.140625" style="116"/>
    <col min="1537" max="1537" width="44.7109375" style="116" customWidth="1"/>
    <col min="1538" max="1538" width="20.5703125" style="116" customWidth="1"/>
    <col min="1539" max="1539" width="13.28515625" style="116" customWidth="1"/>
    <col min="1540" max="1540" width="2.28515625" style="116" customWidth="1"/>
    <col min="1541" max="1541" width="14" style="116" customWidth="1"/>
    <col min="1542" max="1542" width="2.140625" style="116" customWidth="1"/>
    <col min="1543" max="1543" width="12.85546875" style="116" customWidth="1"/>
    <col min="1544" max="1544" width="2" style="116" customWidth="1"/>
    <col min="1545" max="1545" width="12.28515625" style="116" customWidth="1"/>
    <col min="1546" max="1546" width="2.140625" style="116" customWidth="1"/>
    <col min="1547" max="1547" width="13.42578125" style="116" customWidth="1"/>
    <col min="1548" max="1548" width="1.7109375" style="116" customWidth="1"/>
    <col min="1549" max="1792" width="9.140625" style="116"/>
    <col min="1793" max="1793" width="44.7109375" style="116" customWidth="1"/>
    <col min="1794" max="1794" width="20.5703125" style="116" customWidth="1"/>
    <col min="1795" max="1795" width="13.28515625" style="116" customWidth="1"/>
    <col min="1796" max="1796" width="2.28515625" style="116" customWidth="1"/>
    <col min="1797" max="1797" width="14" style="116" customWidth="1"/>
    <col min="1798" max="1798" width="2.140625" style="116" customWidth="1"/>
    <col min="1799" max="1799" width="12.85546875" style="116" customWidth="1"/>
    <col min="1800" max="1800" width="2" style="116" customWidth="1"/>
    <col min="1801" max="1801" width="12.28515625" style="116" customWidth="1"/>
    <col min="1802" max="1802" width="2.140625" style="116" customWidth="1"/>
    <col min="1803" max="1803" width="13.42578125" style="116" customWidth="1"/>
    <col min="1804" max="1804" width="1.7109375" style="116" customWidth="1"/>
    <col min="1805" max="2048" width="9.140625" style="116"/>
    <col min="2049" max="2049" width="44.7109375" style="116" customWidth="1"/>
    <col min="2050" max="2050" width="20.5703125" style="116" customWidth="1"/>
    <col min="2051" max="2051" width="13.28515625" style="116" customWidth="1"/>
    <col min="2052" max="2052" width="2.28515625" style="116" customWidth="1"/>
    <col min="2053" max="2053" width="14" style="116" customWidth="1"/>
    <col min="2054" max="2054" width="2.140625" style="116" customWidth="1"/>
    <col min="2055" max="2055" width="12.85546875" style="116" customWidth="1"/>
    <col min="2056" max="2056" width="2" style="116" customWidth="1"/>
    <col min="2057" max="2057" width="12.28515625" style="116" customWidth="1"/>
    <col min="2058" max="2058" width="2.140625" style="116" customWidth="1"/>
    <col min="2059" max="2059" width="13.42578125" style="116" customWidth="1"/>
    <col min="2060" max="2060" width="1.7109375" style="116" customWidth="1"/>
    <col min="2061" max="2304" width="9.140625" style="116"/>
    <col min="2305" max="2305" width="44.7109375" style="116" customWidth="1"/>
    <col min="2306" max="2306" width="20.5703125" style="116" customWidth="1"/>
    <col min="2307" max="2307" width="13.28515625" style="116" customWidth="1"/>
    <col min="2308" max="2308" width="2.28515625" style="116" customWidth="1"/>
    <col min="2309" max="2309" width="14" style="116" customWidth="1"/>
    <col min="2310" max="2310" width="2.140625" style="116" customWidth="1"/>
    <col min="2311" max="2311" width="12.85546875" style="116" customWidth="1"/>
    <col min="2312" max="2312" width="2" style="116" customWidth="1"/>
    <col min="2313" max="2313" width="12.28515625" style="116" customWidth="1"/>
    <col min="2314" max="2314" width="2.140625" style="116" customWidth="1"/>
    <col min="2315" max="2315" width="13.42578125" style="116" customWidth="1"/>
    <col min="2316" max="2316" width="1.7109375" style="116" customWidth="1"/>
    <col min="2317" max="2560" width="9.140625" style="116"/>
    <col min="2561" max="2561" width="44.7109375" style="116" customWidth="1"/>
    <col min="2562" max="2562" width="20.5703125" style="116" customWidth="1"/>
    <col min="2563" max="2563" width="13.28515625" style="116" customWidth="1"/>
    <col min="2564" max="2564" width="2.28515625" style="116" customWidth="1"/>
    <col min="2565" max="2565" width="14" style="116" customWidth="1"/>
    <col min="2566" max="2566" width="2.140625" style="116" customWidth="1"/>
    <col min="2567" max="2567" width="12.85546875" style="116" customWidth="1"/>
    <col min="2568" max="2568" width="2" style="116" customWidth="1"/>
    <col min="2569" max="2569" width="12.28515625" style="116" customWidth="1"/>
    <col min="2570" max="2570" width="2.140625" style="116" customWidth="1"/>
    <col min="2571" max="2571" width="13.42578125" style="116" customWidth="1"/>
    <col min="2572" max="2572" width="1.7109375" style="116" customWidth="1"/>
    <col min="2573" max="2816" width="9.140625" style="116"/>
    <col min="2817" max="2817" width="44.7109375" style="116" customWidth="1"/>
    <col min="2818" max="2818" width="20.5703125" style="116" customWidth="1"/>
    <col min="2819" max="2819" width="13.28515625" style="116" customWidth="1"/>
    <col min="2820" max="2820" width="2.28515625" style="116" customWidth="1"/>
    <col min="2821" max="2821" width="14" style="116" customWidth="1"/>
    <col min="2822" max="2822" width="2.140625" style="116" customWidth="1"/>
    <col min="2823" max="2823" width="12.85546875" style="116" customWidth="1"/>
    <col min="2824" max="2824" width="2" style="116" customWidth="1"/>
    <col min="2825" max="2825" width="12.28515625" style="116" customWidth="1"/>
    <col min="2826" max="2826" width="2.140625" style="116" customWidth="1"/>
    <col min="2827" max="2827" width="13.42578125" style="116" customWidth="1"/>
    <col min="2828" max="2828" width="1.7109375" style="116" customWidth="1"/>
    <col min="2829" max="3072" width="9.140625" style="116"/>
    <col min="3073" max="3073" width="44.7109375" style="116" customWidth="1"/>
    <col min="3074" max="3074" width="20.5703125" style="116" customWidth="1"/>
    <col min="3075" max="3075" width="13.28515625" style="116" customWidth="1"/>
    <col min="3076" max="3076" width="2.28515625" style="116" customWidth="1"/>
    <col min="3077" max="3077" width="14" style="116" customWidth="1"/>
    <col min="3078" max="3078" width="2.140625" style="116" customWidth="1"/>
    <col min="3079" max="3079" width="12.85546875" style="116" customWidth="1"/>
    <col min="3080" max="3080" width="2" style="116" customWidth="1"/>
    <col min="3081" max="3081" width="12.28515625" style="116" customWidth="1"/>
    <col min="3082" max="3082" width="2.140625" style="116" customWidth="1"/>
    <col min="3083" max="3083" width="13.42578125" style="116" customWidth="1"/>
    <col min="3084" max="3084" width="1.7109375" style="116" customWidth="1"/>
    <col min="3085" max="3328" width="9.140625" style="116"/>
    <col min="3329" max="3329" width="44.7109375" style="116" customWidth="1"/>
    <col min="3330" max="3330" width="20.5703125" style="116" customWidth="1"/>
    <col min="3331" max="3331" width="13.28515625" style="116" customWidth="1"/>
    <col min="3332" max="3332" width="2.28515625" style="116" customWidth="1"/>
    <col min="3333" max="3333" width="14" style="116" customWidth="1"/>
    <col min="3334" max="3334" width="2.140625" style="116" customWidth="1"/>
    <col min="3335" max="3335" width="12.85546875" style="116" customWidth="1"/>
    <col min="3336" max="3336" width="2" style="116" customWidth="1"/>
    <col min="3337" max="3337" width="12.28515625" style="116" customWidth="1"/>
    <col min="3338" max="3338" width="2.140625" style="116" customWidth="1"/>
    <col min="3339" max="3339" width="13.42578125" style="116" customWidth="1"/>
    <col min="3340" max="3340" width="1.7109375" style="116" customWidth="1"/>
    <col min="3341" max="3584" width="9.140625" style="116"/>
    <col min="3585" max="3585" width="44.7109375" style="116" customWidth="1"/>
    <col min="3586" max="3586" width="20.5703125" style="116" customWidth="1"/>
    <col min="3587" max="3587" width="13.28515625" style="116" customWidth="1"/>
    <col min="3588" max="3588" width="2.28515625" style="116" customWidth="1"/>
    <col min="3589" max="3589" width="14" style="116" customWidth="1"/>
    <col min="3590" max="3590" width="2.140625" style="116" customWidth="1"/>
    <col min="3591" max="3591" width="12.85546875" style="116" customWidth="1"/>
    <col min="3592" max="3592" width="2" style="116" customWidth="1"/>
    <col min="3593" max="3593" width="12.28515625" style="116" customWidth="1"/>
    <col min="3594" max="3594" width="2.140625" style="116" customWidth="1"/>
    <col min="3595" max="3595" width="13.42578125" style="116" customWidth="1"/>
    <col min="3596" max="3596" width="1.7109375" style="116" customWidth="1"/>
    <col min="3597" max="3840" width="9.140625" style="116"/>
    <col min="3841" max="3841" width="44.7109375" style="116" customWidth="1"/>
    <col min="3842" max="3842" width="20.5703125" style="116" customWidth="1"/>
    <col min="3843" max="3843" width="13.28515625" style="116" customWidth="1"/>
    <col min="3844" max="3844" width="2.28515625" style="116" customWidth="1"/>
    <col min="3845" max="3845" width="14" style="116" customWidth="1"/>
    <col min="3846" max="3846" width="2.140625" style="116" customWidth="1"/>
    <col min="3847" max="3847" width="12.85546875" style="116" customWidth="1"/>
    <col min="3848" max="3848" width="2" style="116" customWidth="1"/>
    <col min="3849" max="3849" width="12.28515625" style="116" customWidth="1"/>
    <col min="3850" max="3850" width="2.140625" style="116" customWidth="1"/>
    <col min="3851" max="3851" width="13.42578125" style="116" customWidth="1"/>
    <col min="3852" max="3852" width="1.7109375" style="116" customWidth="1"/>
    <col min="3853" max="4096" width="9.140625" style="116"/>
    <col min="4097" max="4097" width="44.7109375" style="116" customWidth="1"/>
    <col min="4098" max="4098" width="20.5703125" style="116" customWidth="1"/>
    <col min="4099" max="4099" width="13.28515625" style="116" customWidth="1"/>
    <col min="4100" max="4100" width="2.28515625" style="116" customWidth="1"/>
    <col min="4101" max="4101" width="14" style="116" customWidth="1"/>
    <col min="4102" max="4102" width="2.140625" style="116" customWidth="1"/>
    <col min="4103" max="4103" width="12.85546875" style="116" customWidth="1"/>
    <col min="4104" max="4104" width="2" style="116" customWidth="1"/>
    <col min="4105" max="4105" width="12.28515625" style="116" customWidth="1"/>
    <col min="4106" max="4106" width="2.140625" style="116" customWidth="1"/>
    <col min="4107" max="4107" width="13.42578125" style="116" customWidth="1"/>
    <col min="4108" max="4108" width="1.7109375" style="116" customWidth="1"/>
    <col min="4109" max="4352" width="9.140625" style="116"/>
    <col min="4353" max="4353" width="44.7109375" style="116" customWidth="1"/>
    <col min="4354" max="4354" width="20.5703125" style="116" customWidth="1"/>
    <col min="4355" max="4355" width="13.28515625" style="116" customWidth="1"/>
    <col min="4356" max="4356" width="2.28515625" style="116" customWidth="1"/>
    <col min="4357" max="4357" width="14" style="116" customWidth="1"/>
    <col min="4358" max="4358" width="2.140625" style="116" customWidth="1"/>
    <col min="4359" max="4359" width="12.85546875" style="116" customWidth="1"/>
    <col min="4360" max="4360" width="2" style="116" customWidth="1"/>
    <col min="4361" max="4361" width="12.28515625" style="116" customWidth="1"/>
    <col min="4362" max="4362" width="2.140625" style="116" customWidth="1"/>
    <col min="4363" max="4363" width="13.42578125" style="116" customWidth="1"/>
    <col min="4364" max="4364" width="1.7109375" style="116" customWidth="1"/>
    <col min="4365" max="4608" width="9.140625" style="116"/>
    <col min="4609" max="4609" width="44.7109375" style="116" customWidth="1"/>
    <col min="4610" max="4610" width="20.5703125" style="116" customWidth="1"/>
    <col min="4611" max="4611" width="13.28515625" style="116" customWidth="1"/>
    <col min="4612" max="4612" width="2.28515625" style="116" customWidth="1"/>
    <col min="4613" max="4613" width="14" style="116" customWidth="1"/>
    <col min="4614" max="4614" width="2.140625" style="116" customWidth="1"/>
    <col min="4615" max="4615" width="12.85546875" style="116" customWidth="1"/>
    <col min="4616" max="4616" width="2" style="116" customWidth="1"/>
    <col min="4617" max="4617" width="12.28515625" style="116" customWidth="1"/>
    <col min="4618" max="4618" width="2.140625" style="116" customWidth="1"/>
    <col min="4619" max="4619" width="13.42578125" style="116" customWidth="1"/>
    <col min="4620" max="4620" width="1.7109375" style="116" customWidth="1"/>
    <col min="4621" max="4864" width="9.140625" style="116"/>
    <col min="4865" max="4865" width="44.7109375" style="116" customWidth="1"/>
    <col min="4866" max="4866" width="20.5703125" style="116" customWidth="1"/>
    <col min="4867" max="4867" width="13.28515625" style="116" customWidth="1"/>
    <col min="4868" max="4868" width="2.28515625" style="116" customWidth="1"/>
    <col min="4869" max="4869" width="14" style="116" customWidth="1"/>
    <col min="4870" max="4870" width="2.140625" style="116" customWidth="1"/>
    <col min="4871" max="4871" width="12.85546875" style="116" customWidth="1"/>
    <col min="4872" max="4872" width="2" style="116" customWidth="1"/>
    <col min="4873" max="4873" width="12.28515625" style="116" customWidth="1"/>
    <col min="4874" max="4874" width="2.140625" style="116" customWidth="1"/>
    <col min="4875" max="4875" width="13.42578125" style="116" customWidth="1"/>
    <col min="4876" max="4876" width="1.7109375" style="116" customWidth="1"/>
    <col min="4877" max="5120" width="9.140625" style="116"/>
    <col min="5121" max="5121" width="44.7109375" style="116" customWidth="1"/>
    <col min="5122" max="5122" width="20.5703125" style="116" customWidth="1"/>
    <col min="5123" max="5123" width="13.28515625" style="116" customWidth="1"/>
    <col min="5124" max="5124" width="2.28515625" style="116" customWidth="1"/>
    <col min="5125" max="5125" width="14" style="116" customWidth="1"/>
    <col min="5126" max="5126" width="2.140625" style="116" customWidth="1"/>
    <col min="5127" max="5127" width="12.85546875" style="116" customWidth="1"/>
    <col min="5128" max="5128" width="2" style="116" customWidth="1"/>
    <col min="5129" max="5129" width="12.28515625" style="116" customWidth="1"/>
    <col min="5130" max="5130" width="2.140625" style="116" customWidth="1"/>
    <col min="5131" max="5131" width="13.42578125" style="116" customWidth="1"/>
    <col min="5132" max="5132" width="1.7109375" style="116" customWidth="1"/>
    <col min="5133" max="5376" width="9.140625" style="116"/>
    <col min="5377" max="5377" width="44.7109375" style="116" customWidth="1"/>
    <col min="5378" max="5378" width="20.5703125" style="116" customWidth="1"/>
    <col min="5379" max="5379" width="13.28515625" style="116" customWidth="1"/>
    <col min="5380" max="5380" width="2.28515625" style="116" customWidth="1"/>
    <col min="5381" max="5381" width="14" style="116" customWidth="1"/>
    <col min="5382" max="5382" width="2.140625" style="116" customWidth="1"/>
    <col min="5383" max="5383" width="12.85546875" style="116" customWidth="1"/>
    <col min="5384" max="5384" width="2" style="116" customWidth="1"/>
    <col min="5385" max="5385" width="12.28515625" style="116" customWidth="1"/>
    <col min="5386" max="5386" width="2.140625" style="116" customWidth="1"/>
    <col min="5387" max="5387" width="13.42578125" style="116" customWidth="1"/>
    <col min="5388" max="5388" width="1.7109375" style="116" customWidth="1"/>
    <col min="5389" max="5632" width="9.140625" style="116"/>
    <col min="5633" max="5633" width="44.7109375" style="116" customWidth="1"/>
    <col min="5634" max="5634" width="20.5703125" style="116" customWidth="1"/>
    <col min="5635" max="5635" width="13.28515625" style="116" customWidth="1"/>
    <col min="5636" max="5636" width="2.28515625" style="116" customWidth="1"/>
    <col min="5637" max="5637" width="14" style="116" customWidth="1"/>
    <col min="5638" max="5638" width="2.140625" style="116" customWidth="1"/>
    <col min="5639" max="5639" width="12.85546875" style="116" customWidth="1"/>
    <col min="5640" max="5640" width="2" style="116" customWidth="1"/>
    <col min="5641" max="5641" width="12.28515625" style="116" customWidth="1"/>
    <col min="5642" max="5642" width="2.140625" style="116" customWidth="1"/>
    <col min="5643" max="5643" width="13.42578125" style="116" customWidth="1"/>
    <col min="5644" max="5644" width="1.7109375" style="116" customWidth="1"/>
    <col min="5645" max="5888" width="9.140625" style="116"/>
    <col min="5889" max="5889" width="44.7109375" style="116" customWidth="1"/>
    <col min="5890" max="5890" width="20.5703125" style="116" customWidth="1"/>
    <col min="5891" max="5891" width="13.28515625" style="116" customWidth="1"/>
    <col min="5892" max="5892" width="2.28515625" style="116" customWidth="1"/>
    <col min="5893" max="5893" width="14" style="116" customWidth="1"/>
    <col min="5894" max="5894" width="2.140625" style="116" customWidth="1"/>
    <col min="5895" max="5895" width="12.85546875" style="116" customWidth="1"/>
    <col min="5896" max="5896" width="2" style="116" customWidth="1"/>
    <col min="5897" max="5897" width="12.28515625" style="116" customWidth="1"/>
    <col min="5898" max="5898" width="2.140625" style="116" customWidth="1"/>
    <col min="5899" max="5899" width="13.42578125" style="116" customWidth="1"/>
    <col min="5900" max="5900" width="1.7109375" style="116" customWidth="1"/>
    <col min="5901" max="6144" width="9.140625" style="116"/>
    <col min="6145" max="6145" width="44.7109375" style="116" customWidth="1"/>
    <col min="6146" max="6146" width="20.5703125" style="116" customWidth="1"/>
    <col min="6147" max="6147" width="13.28515625" style="116" customWidth="1"/>
    <col min="6148" max="6148" width="2.28515625" style="116" customWidth="1"/>
    <col min="6149" max="6149" width="14" style="116" customWidth="1"/>
    <col min="6150" max="6150" width="2.140625" style="116" customWidth="1"/>
    <col min="6151" max="6151" width="12.85546875" style="116" customWidth="1"/>
    <col min="6152" max="6152" width="2" style="116" customWidth="1"/>
    <col min="6153" max="6153" width="12.28515625" style="116" customWidth="1"/>
    <col min="6154" max="6154" width="2.140625" style="116" customWidth="1"/>
    <col min="6155" max="6155" width="13.42578125" style="116" customWidth="1"/>
    <col min="6156" max="6156" width="1.7109375" style="116" customWidth="1"/>
    <col min="6157" max="6400" width="9.140625" style="116"/>
    <col min="6401" max="6401" width="44.7109375" style="116" customWidth="1"/>
    <col min="6402" max="6402" width="20.5703125" style="116" customWidth="1"/>
    <col min="6403" max="6403" width="13.28515625" style="116" customWidth="1"/>
    <col min="6404" max="6404" width="2.28515625" style="116" customWidth="1"/>
    <col min="6405" max="6405" width="14" style="116" customWidth="1"/>
    <col min="6406" max="6406" width="2.140625" style="116" customWidth="1"/>
    <col min="6407" max="6407" width="12.85546875" style="116" customWidth="1"/>
    <col min="6408" max="6408" width="2" style="116" customWidth="1"/>
    <col min="6409" max="6409" width="12.28515625" style="116" customWidth="1"/>
    <col min="6410" max="6410" width="2.140625" style="116" customWidth="1"/>
    <col min="6411" max="6411" width="13.42578125" style="116" customWidth="1"/>
    <col min="6412" max="6412" width="1.7109375" style="116" customWidth="1"/>
    <col min="6413" max="6656" width="9.140625" style="116"/>
    <col min="6657" max="6657" width="44.7109375" style="116" customWidth="1"/>
    <col min="6658" max="6658" width="20.5703125" style="116" customWidth="1"/>
    <col min="6659" max="6659" width="13.28515625" style="116" customWidth="1"/>
    <col min="6660" max="6660" width="2.28515625" style="116" customWidth="1"/>
    <col min="6661" max="6661" width="14" style="116" customWidth="1"/>
    <col min="6662" max="6662" width="2.140625" style="116" customWidth="1"/>
    <col min="6663" max="6663" width="12.85546875" style="116" customWidth="1"/>
    <col min="6664" max="6664" width="2" style="116" customWidth="1"/>
    <col min="6665" max="6665" width="12.28515625" style="116" customWidth="1"/>
    <col min="6666" max="6666" width="2.140625" style="116" customWidth="1"/>
    <col min="6667" max="6667" width="13.42578125" style="116" customWidth="1"/>
    <col min="6668" max="6668" width="1.7109375" style="116" customWidth="1"/>
    <col min="6669" max="6912" width="9.140625" style="116"/>
    <col min="6913" max="6913" width="44.7109375" style="116" customWidth="1"/>
    <col min="6914" max="6914" width="20.5703125" style="116" customWidth="1"/>
    <col min="6915" max="6915" width="13.28515625" style="116" customWidth="1"/>
    <col min="6916" max="6916" width="2.28515625" style="116" customWidth="1"/>
    <col min="6917" max="6917" width="14" style="116" customWidth="1"/>
    <col min="6918" max="6918" width="2.140625" style="116" customWidth="1"/>
    <col min="6919" max="6919" width="12.85546875" style="116" customWidth="1"/>
    <col min="6920" max="6920" width="2" style="116" customWidth="1"/>
    <col min="6921" max="6921" width="12.28515625" style="116" customWidth="1"/>
    <col min="6922" max="6922" width="2.140625" style="116" customWidth="1"/>
    <col min="6923" max="6923" width="13.42578125" style="116" customWidth="1"/>
    <col min="6924" max="6924" width="1.7109375" style="116" customWidth="1"/>
    <col min="6925" max="7168" width="9.140625" style="116"/>
    <col min="7169" max="7169" width="44.7109375" style="116" customWidth="1"/>
    <col min="7170" max="7170" width="20.5703125" style="116" customWidth="1"/>
    <col min="7171" max="7171" width="13.28515625" style="116" customWidth="1"/>
    <col min="7172" max="7172" width="2.28515625" style="116" customWidth="1"/>
    <col min="7173" max="7173" width="14" style="116" customWidth="1"/>
    <col min="7174" max="7174" width="2.140625" style="116" customWidth="1"/>
    <col min="7175" max="7175" width="12.85546875" style="116" customWidth="1"/>
    <col min="7176" max="7176" width="2" style="116" customWidth="1"/>
    <col min="7177" max="7177" width="12.28515625" style="116" customWidth="1"/>
    <col min="7178" max="7178" width="2.140625" style="116" customWidth="1"/>
    <col min="7179" max="7179" width="13.42578125" style="116" customWidth="1"/>
    <col min="7180" max="7180" width="1.7109375" style="116" customWidth="1"/>
    <col min="7181" max="7424" width="9.140625" style="116"/>
    <col min="7425" max="7425" width="44.7109375" style="116" customWidth="1"/>
    <col min="7426" max="7426" width="20.5703125" style="116" customWidth="1"/>
    <col min="7427" max="7427" width="13.28515625" style="116" customWidth="1"/>
    <col min="7428" max="7428" width="2.28515625" style="116" customWidth="1"/>
    <col min="7429" max="7429" width="14" style="116" customWidth="1"/>
    <col min="7430" max="7430" width="2.140625" style="116" customWidth="1"/>
    <col min="7431" max="7431" width="12.85546875" style="116" customWidth="1"/>
    <col min="7432" max="7432" width="2" style="116" customWidth="1"/>
    <col min="7433" max="7433" width="12.28515625" style="116" customWidth="1"/>
    <col min="7434" max="7434" width="2.140625" style="116" customWidth="1"/>
    <col min="7435" max="7435" width="13.42578125" style="116" customWidth="1"/>
    <col min="7436" max="7436" width="1.7109375" style="116" customWidth="1"/>
    <col min="7437" max="7680" width="9.140625" style="116"/>
    <col min="7681" max="7681" width="44.7109375" style="116" customWidth="1"/>
    <col min="7682" max="7682" width="20.5703125" style="116" customWidth="1"/>
    <col min="7683" max="7683" width="13.28515625" style="116" customWidth="1"/>
    <col min="7684" max="7684" width="2.28515625" style="116" customWidth="1"/>
    <col min="7685" max="7685" width="14" style="116" customWidth="1"/>
    <col min="7686" max="7686" width="2.140625" style="116" customWidth="1"/>
    <col min="7687" max="7687" width="12.85546875" style="116" customWidth="1"/>
    <col min="7688" max="7688" width="2" style="116" customWidth="1"/>
    <col min="7689" max="7689" width="12.28515625" style="116" customWidth="1"/>
    <col min="7690" max="7690" width="2.140625" style="116" customWidth="1"/>
    <col min="7691" max="7691" width="13.42578125" style="116" customWidth="1"/>
    <col min="7692" max="7692" width="1.7109375" style="116" customWidth="1"/>
    <col min="7693" max="7936" width="9.140625" style="116"/>
    <col min="7937" max="7937" width="44.7109375" style="116" customWidth="1"/>
    <col min="7938" max="7938" width="20.5703125" style="116" customWidth="1"/>
    <col min="7939" max="7939" width="13.28515625" style="116" customWidth="1"/>
    <col min="7940" max="7940" width="2.28515625" style="116" customWidth="1"/>
    <col min="7941" max="7941" width="14" style="116" customWidth="1"/>
    <col min="7942" max="7942" width="2.140625" style="116" customWidth="1"/>
    <col min="7943" max="7943" width="12.85546875" style="116" customWidth="1"/>
    <col min="7944" max="7944" width="2" style="116" customWidth="1"/>
    <col min="7945" max="7945" width="12.28515625" style="116" customWidth="1"/>
    <col min="7946" max="7946" width="2.140625" style="116" customWidth="1"/>
    <col min="7947" max="7947" width="13.42578125" style="116" customWidth="1"/>
    <col min="7948" max="7948" width="1.7109375" style="116" customWidth="1"/>
    <col min="7949" max="8192" width="9.140625" style="116"/>
    <col min="8193" max="8193" width="44.7109375" style="116" customWidth="1"/>
    <col min="8194" max="8194" width="20.5703125" style="116" customWidth="1"/>
    <col min="8195" max="8195" width="13.28515625" style="116" customWidth="1"/>
    <col min="8196" max="8196" width="2.28515625" style="116" customWidth="1"/>
    <col min="8197" max="8197" width="14" style="116" customWidth="1"/>
    <col min="8198" max="8198" width="2.140625" style="116" customWidth="1"/>
    <col min="8199" max="8199" width="12.85546875" style="116" customWidth="1"/>
    <col min="8200" max="8200" width="2" style="116" customWidth="1"/>
    <col min="8201" max="8201" width="12.28515625" style="116" customWidth="1"/>
    <col min="8202" max="8202" width="2.140625" style="116" customWidth="1"/>
    <col min="8203" max="8203" width="13.42578125" style="116" customWidth="1"/>
    <col min="8204" max="8204" width="1.7109375" style="116" customWidth="1"/>
    <col min="8205" max="8448" width="9.140625" style="116"/>
    <col min="8449" max="8449" width="44.7109375" style="116" customWidth="1"/>
    <col min="8450" max="8450" width="20.5703125" style="116" customWidth="1"/>
    <col min="8451" max="8451" width="13.28515625" style="116" customWidth="1"/>
    <col min="8452" max="8452" width="2.28515625" style="116" customWidth="1"/>
    <col min="8453" max="8453" width="14" style="116" customWidth="1"/>
    <col min="8454" max="8454" width="2.140625" style="116" customWidth="1"/>
    <col min="8455" max="8455" width="12.85546875" style="116" customWidth="1"/>
    <col min="8456" max="8456" width="2" style="116" customWidth="1"/>
    <col min="8457" max="8457" width="12.28515625" style="116" customWidth="1"/>
    <col min="8458" max="8458" width="2.140625" style="116" customWidth="1"/>
    <col min="8459" max="8459" width="13.42578125" style="116" customWidth="1"/>
    <col min="8460" max="8460" width="1.7109375" style="116" customWidth="1"/>
    <col min="8461" max="8704" width="9.140625" style="116"/>
    <col min="8705" max="8705" width="44.7109375" style="116" customWidth="1"/>
    <col min="8706" max="8706" width="20.5703125" style="116" customWidth="1"/>
    <col min="8707" max="8707" width="13.28515625" style="116" customWidth="1"/>
    <col min="8708" max="8708" width="2.28515625" style="116" customWidth="1"/>
    <col min="8709" max="8709" width="14" style="116" customWidth="1"/>
    <col min="8710" max="8710" width="2.140625" style="116" customWidth="1"/>
    <col min="8711" max="8711" width="12.85546875" style="116" customWidth="1"/>
    <col min="8712" max="8712" width="2" style="116" customWidth="1"/>
    <col min="8713" max="8713" width="12.28515625" style="116" customWidth="1"/>
    <col min="8714" max="8714" width="2.140625" style="116" customWidth="1"/>
    <col min="8715" max="8715" width="13.42578125" style="116" customWidth="1"/>
    <col min="8716" max="8716" width="1.7109375" style="116" customWidth="1"/>
    <col min="8717" max="8960" width="9.140625" style="116"/>
    <col min="8961" max="8961" width="44.7109375" style="116" customWidth="1"/>
    <col min="8962" max="8962" width="20.5703125" style="116" customWidth="1"/>
    <col min="8963" max="8963" width="13.28515625" style="116" customWidth="1"/>
    <col min="8964" max="8964" width="2.28515625" style="116" customWidth="1"/>
    <col min="8965" max="8965" width="14" style="116" customWidth="1"/>
    <col min="8966" max="8966" width="2.140625" style="116" customWidth="1"/>
    <col min="8967" max="8967" width="12.85546875" style="116" customWidth="1"/>
    <col min="8968" max="8968" width="2" style="116" customWidth="1"/>
    <col min="8969" max="8969" width="12.28515625" style="116" customWidth="1"/>
    <col min="8970" max="8970" width="2.140625" style="116" customWidth="1"/>
    <col min="8971" max="8971" width="13.42578125" style="116" customWidth="1"/>
    <col min="8972" max="8972" width="1.7109375" style="116" customWidth="1"/>
    <col min="8973" max="9216" width="9.140625" style="116"/>
    <col min="9217" max="9217" width="44.7109375" style="116" customWidth="1"/>
    <col min="9218" max="9218" width="20.5703125" style="116" customWidth="1"/>
    <col min="9219" max="9219" width="13.28515625" style="116" customWidth="1"/>
    <col min="9220" max="9220" width="2.28515625" style="116" customWidth="1"/>
    <col min="9221" max="9221" width="14" style="116" customWidth="1"/>
    <col min="9222" max="9222" width="2.140625" style="116" customWidth="1"/>
    <col min="9223" max="9223" width="12.85546875" style="116" customWidth="1"/>
    <col min="9224" max="9224" width="2" style="116" customWidth="1"/>
    <col min="9225" max="9225" width="12.28515625" style="116" customWidth="1"/>
    <col min="9226" max="9226" width="2.140625" style="116" customWidth="1"/>
    <col min="9227" max="9227" width="13.42578125" style="116" customWidth="1"/>
    <col min="9228" max="9228" width="1.7109375" style="116" customWidth="1"/>
    <col min="9229" max="9472" width="9.140625" style="116"/>
    <col min="9473" max="9473" width="44.7109375" style="116" customWidth="1"/>
    <col min="9474" max="9474" width="20.5703125" style="116" customWidth="1"/>
    <col min="9475" max="9475" width="13.28515625" style="116" customWidth="1"/>
    <col min="9476" max="9476" width="2.28515625" style="116" customWidth="1"/>
    <col min="9477" max="9477" width="14" style="116" customWidth="1"/>
    <col min="9478" max="9478" width="2.140625" style="116" customWidth="1"/>
    <col min="9479" max="9479" width="12.85546875" style="116" customWidth="1"/>
    <col min="9480" max="9480" width="2" style="116" customWidth="1"/>
    <col min="9481" max="9481" width="12.28515625" style="116" customWidth="1"/>
    <col min="9482" max="9482" width="2.140625" style="116" customWidth="1"/>
    <col min="9483" max="9483" width="13.42578125" style="116" customWidth="1"/>
    <col min="9484" max="9484" width="1.7109375" style="116" customWidth="1"/>
    <col min="9485" max="9728" width="9.140625" style="116"/>
    <col min="9729" max="9729" width="44.7109375" style="116" customWidth="1"/>
    <col min="9730" max="9730" width="20.5703125" style="116" customWidth="1"/>
    <col min="9731" max="9731" width="13.28515625" style="116" customWidth="1"/>
    <col min="9732" max="9732" width="2.28515625" style="116" customWidth="1"/>
    <col min="9733" max="9733" width="14" style="116" customWidth="1"/>
    <col min="9734" max="9734" width="2.140625" style="116" customWidth="1"/>
    <col min="9735" max="9735" width="12.85546875" style="116" customWidth="1"/>
    <col min="9736" max="9736" width="2" style="116" customWidth="1"/>
    <col min="9737" max="9737" width="12.28515625" style="116" customWidth="1"/>
    <col min="9738" max="9738" width="2.140625" style="116" customWidth="1"/>
    <col min="9739" max="9739" width="13.42578125" style="116" customWidth="1"/>
    <col min="9740" max="9740" width="1.7109375" style="116" customWidth="1"/>
    <col min="9741" max="9984" width="9.140625" style="116"/>
    <col min="9985" max="9985" width="44.7109375" style="116" customWidth="1"/>
    <col min="9986" max="9986" width="20.5703125" style="116" customWidth="1"/>
    <col min="9987" max="9987" width="13.28515625" style="116" customWidth="1"/>
    <col min="9988" max="9988" width="2.28515625" style="116" customWidth="1"/>
    <col min="9989" max="9989" width="14" style="116" customWidth="1"/>
    <col min="9990" max="9990" width="2.140625" style="116" customWidth="1"/>
    <col min="9991" max="9991" width="12.85546875" style="116" customWidth="1"/>
    <col min="9992" max="9992" width="2" style="116" customWidth="1"/>
    <col min="9993" max="9993" width="12.28515625" style="116" customWidth="1"/>
    <col min="9994" max="9994" width="2.140625" style="116" customWidth="1"/>
    <col min="9995" max="9995" width="13.42578125" style="116" customWidth="1"/>
    <col min="9996" max="9996" width="1.7109375" style="116" customWidth="1"/>
    <col min="9997" max="10240" width="9.140625" style="116"/>
    <col min="10241" max="10241" width="44.7109375" style="116" customWidth="1"/>
    <col min="10242" max="10242" width="20.5703125" style="116" customWidth="1"/>
    <col min="10243" max="10243" width="13.28515625" style="116" customWidth="1"/>
    <col min="10244" max="10244" width="2.28515625" style="116" customWidth="1"/>
    <col min="10245" max="10245" width="14" style="116" customWidth="1"/>
    <col min="10246" max="10246" width="2.140625" style="116" customWidth="1"/>
    <col min="10247" max="10247" width="12.85546875" style="116" customWidth="1"/>
    <col min="10248" max="10248" width="2" style="116" customWidth="1"/>
    <col min="10249" max="10249" width="12.28515625" style="116" customWidth="1"/>
    <col min="10250" max="10250" width="2.140625" style="116" customWidth="1"/>
    <col min="10251" max="10251" width="13.42578125" style="116" customWidth="1"/>
    <col min="10252" max="10252" width="1.7109375" style="116" customWidth="1"/>
    <col min="10253" max="10496" width="9.140625" style="116"/>
    <col min="10497" max="10497" width="44.7109375" style="116" customWidth="1"/>
    <col min="10498" max="10498" width="20.5703125" style="116" customWidth="1"/>
    <col min="10499" max="10499" width="13.28515625" style="116" customWidth="1"/>
    <col min="10500" max="10500" width="2.28515625" style="116" customWidth="1"/>
    <col min="10501" max="10501" width="14" style="116" customWidth="1"/>
    <col min="10502" max="10502" width="2.140625" style="116" customWidth="1"/>
    <col min="10503" max="10503" width="12.85546875" style="116" customWidth="1"/>
    <col min="10504" max="10504" width="2" style="116" customWidth="1"/>
    <col min="10505" max="10505" width="12.28515625" style="116" customWidth="1"/>
    <col min="10506" max="10506" width="2.140625" style="116" customWidth="1"/>
    <col min="10507" max="10507" width="13.42578125" style="116" customWidth="1"/>
    <col min="10508" max="10508" width="1.7109375" style="116" customWidth="1"/>
    <col min="10509" max="10752" width="9.140625" style="116"/>
    <col min="10753" max="10753" width="44.7109375" style="116" customWidth="1"/>
    <col min="10754" max="10754" width="20.5703125" style="116" customWidth="1"/>
    <col min="10755" max="10755" width="13.28515625" style="116" customWidth="1"/>
    <col min="10756" max="10756" width="2.28515625" style="116" customWidth="1"/>
    <col min="10757" max="10757" width="14" style="116" customWidth="1"/>
    <col min="10758" max="10758" width="2.140625" style="116" customWidth="1"/>
    <col min="10759" max="10759" width="12.85546875" style="116" customWidth="1"/>
    <col min="10760" max="10760" width="2" style="116" customWidth="1"/>
    <col min="10761" max="10761" width="12.28515625" style="116" customWidth="1"/>
    <col min="10762" max="10762" width="2.140625" style="116" customWidth="1"/>
    <col min="10763" max="10763" width="13.42578125" style="116" customWidth="1"/>
    <col min="10764" max="10764" width="1.7109375" style="116" customWidth="1"/>
    <col min="10765" max="11008" width="9.140625" style="116"/>
    <col min="11009" max="11009" width="44.7109375" style="116" customWidth="1"/>
    <col min="11010" max="11010" width="20.5703125" style="116" customWidth="1"/>
    <col min="11011" max="11011" width="13.28515625" style="116" customWidth="1"/>
    <col min="11012" max="11012" width="2.28515625" style="116" customWidth="1"/>
    <col min="11013" max="11013" width="14" style="116" customWidth="1"/>
    <col min="11014" max="11014" width="2.140625" style="116" customWidth="1"/>
    <col min="11015" max="11015" width="12.85546875" style="116" customWidth="1"/>
    <col min="11016" max="11016" width="2" style="116" customWidth="1"/>
    <col min="11017" max="11017" width="12.28515625" style="116" customWidth="1"/>
    <col min="11018" max="11018" width="2.140625" style="116" customWidth="1"/>
    <col min="11019" max="11019" width="13.42578125" style="116" customWidth="1"/>
    <col min="11020" max="11020" width="1.7109375" style="116" customWidth="1"/>
    <col min="11021" max="11264" width="9.140625" style="116"/>
    <col min="11265" max="11265" width="44.7109375" style="116" customWidth="1"/>
    <col min="11266" max="11266" width="20.5703125" style="116" customWidth="1"/>
    <col min="11267" max="11267" width="13.28515625" style="116" customWidth="1"/>
    <col min="11268" max="11268" width="2.28515625" style="116" customWidth="1"/>
    <col min="11269" max="11269" width="14" style="116" customWidth="1"/>
    <col min="11270" max="11270" width="2.140625" style="116" customWidth="1"/>
    <col min="11271" max="11271" width="12.85546875" style="116" customWidth="1"/>
    <col min="11272" max="11272" width="2" style="116" customWidth="1"/>
    <col min="11273" max="11273" width="12.28515625" style="116" customWidth="1"/>
    <col min="11274" max="11274" width="2.140625" style="116" customWidth="1"/>
    <col min="11275" max="11275" width="13.42578125" style="116" customWidth="1"/>
    <col min="11276" max="11276" width="1.7109375" style="116" customWidth="1"/>
    <col min="11277" max="11520" width="9.140625" style="116"/>
    <col min="11521" max="11521" width="44.7109375" style="116" customWidth="1"/>
    <col min="11522" max="11522" width="20.5703125" style="116" customWidth="1"/>
    <col min="11523" max="11523" width="13.28515625" style="116" customWidth="1"/>
    <col min="11524" max="11524" width="2.28515625" style="116" customWidth="1"/>
    <col min="11525" max="11525" width="14" style="116" customWidth="1"/>
    <col min="11526" max="11526" width="2.140625" style="116" customWidth="1"/>
    <col min="11527" max="11527" width="12.85546875" style="116" customWidth="1"/>
    <col min="11528" max="11528" width="2" style="116" customWidth="1"/>
    <col min="11529" max="11529" width="12.28515625" style="116" customWidth="1"/>
    <col min="11530" max="11530" width="2.140625" style="116" customWidth="1"/>
    <col min="11531" max="11531" width="13.42578125" style="116" customWidth="1"/>
    <col min="11532" max="11532" width="1.7109375" style="116" customWidth="1"/>
    <col min="11533" max="11776" width="9.140625" style="116"/>
    <col min="11777" max="11777" width="44.7109375" style="116" customWidth="1"/>
    <col min="11778" max="11778" width="20.5703125" style="116" customWidth="1"/>
    <col min="11779" max="11779" width="13.28515625" style="116" customWidth="1"/>
    <col min="11780" max="11780" width="2.28515625" style="116" customWidth="1"/>
    <col min="11781" max="11781" width="14" style="116" customWidth="1"/>
    <col min="11782" max="11782" width="2.140625" style="116" customWidth="1"/>
    <col min="11783" max="11783" width="12.85546875" style="116" customWidth="1"/>
    <col min="11784" max="11784" width="2" style="116" customWidth="1"/>
    <col min="11785" max="11785" width="12.28515625" style="116" customWidth="1"/>
    <col min="11786" max="11786" width="2.140625" style="116" customWidth="1"/>
    <col min="11787" max="11787" width="13.42578125" style="116" customWidth="1"/>
    <col min="11788" max="11788" width="1.7109375" style="116" customWidth="1"/>
    <col min="11789" max="12032" width="9.140625" style="116"/>
    <col min="12033" max="12033" width="44.7109375" style="116" customWidth="1"/>
    <col min="12034" max="12034" width="20.5703125" style="116" customWidth="1"/>
    <col min="12035" max="12035" width="13.28515625" style="116" customWidth="1"/>
    <col min="12036" max="12036" width="2.28515625" style="116" customWidth="1"/>
    <col min="12037" max="12037" width="14" style="116" customWidth="1"/>
    <col min="12038" max="12038" width="2.140625" style="116" customWidth="1"/>
    <col min="12039" max="12039" width="12.85546875" style="116" customWidth="1"/>
    <col min="12040" max="12040" width="2" style="116" customWidth="1"/>
    <col min="12041" max="12041" width="12.28515625" style="116" customWidth="1"/>
    <col min="12042" max="12042" width="2.140625" style="116" customWidth="1"/>
    <col min="12043" max="12043" width="13.42578125" style="116" customWidth="1"/>
    <col min="12044" max="12044" width="1.7109375" style="116" customWidth="1"/>
    <col min="12045" max="12288" width="9.140625" style="116"/>
    <col min="12289" max="12289" width="44.7109375" style="116" customWidth="1"/>
    <col min="12290" max="12290" width="20.5703125" style="116" customWidth="1"/>
    <col min="12291" max="12291" width="13.28515625" style="116" customWidth="1"/>
    <col min="12292" max="12292" width="2.28515625" style="116" customWidth="1"/>
    <col min="12293" max="12293" width="14" style="116" customWidth="1"/>
    <col min="12294" max="12294" width="2.140625" style="116" customWidth="1"/>
    <col min="12295" max="12295" width="12.85546875" style="116" customWidth="1"/>
    <col min="12296" max="12296" width="2" style="116" customWidth="1"/>
    <col min="12297" max="12297" width="12.28515625" style="116" customWidth="1"/>
    <col min="12298" max="12298" width="2.140625" style="116" customWidth="1"/>
    <col min="12299" max="12299" width="13.42578125" style="116" customWidth="1"/>
    <col min="12300" max="12300" width="1.7109375" style="116" customWidth="1"/>
    <col min="12301" max="12544" width="9.140625" style="116"/>
    <col min="12545" max="12545" width="44.7109375" style="116" customWidth="1"/>
    <col min="12546" max="12546" width="20.5703125" style="116" customWidth="1"/>
    <col min="12547" max="12547" width="13.28515625" style="116" customWidth="1"/>
    <col min="12548" max="12548" width="2.28515625" style="116" customWidth="1"/>
    <col min="12549" max="12549" width="14" style="116" customWidth="1"/>
    <col min="12550" max="12550" width="2.140625" style="116" customWidth="1"/>
    <col min="12551" max="12551" width="12.85546875" style="116" customWidth="1"/>
    <col min="12552" max="12552" width="2" style="116" customWidth="1"/>
    <col min="12553" max="12553" width="12.28515625" style="116" customWidth="1"/>
    <col min="12554" max="12554" width="2.140625" style="116" customWidth="1"/>
    <col min="12555" max="12555" width="13.42578125" style="116" customWidth="1"/>
    <col min="12556" max="12556" width="1.7109375" style="116" customWidth="1"/>
    <col min="12557" max="12800" width="9.140625" style="116"/>
    <col min="12801" max="12801" width="44.7109375" style="116" customWidth="1"/>
    <col min="12802" max="12802" width="20.5703125" style="116" customWidth="1"/>
    <col min="12803" max="12803" width="13.28515625" style="116" customWidth="1"/>
    <col min="12804" max="12804" width="2.28515625" style="116" customWidth="1"/>
    <col min="12805" max="12805" width="14" style="116" customWidth="1"/>
    <col min="12806" max="12806" width="2.140625" style="116" customWidth="1"/>
    <col min="12807" max="12807" width="12.85546875" style="116" customWidth="1"/>
    <col min="12808" max="12808" width="2" style="116" customWidth="1"/>
    <col min="12809" max="12809" width="12.28515625" style="116" customWidth="1"/>
    <col min="12810" max="12810" width="2.140625" style="116" customWidth="1"/>
    <col min="12811" max="12811" width="13.42578125" style="116" customWidth="1"/>
    <col min="12812" max="12812" width="1.7109375" style="116" customWidth="1"/>
    <col min="12813" max="13056" width="9.140625" style="116"/>
    <col min="13057" max="13057" width="44.7109375" style="116" customWidth="1"/>
    <col min="13058" max="13058" width="20.5703125" style="116" customWidth="1"/>
    <col min="13059" max="13059" width="13.28515625" style="116" customWidth="1"/>
    <col min="13060" max="13060" width="2.28515625" style="116" customWidth="1"/>
    <col min="13061" max="13061" width="14" style="116" customWidth="1"/>
    <col min="13062" max="13062" width="2.140625" style="116" customWidth="1"/>
    <col min="13063" max="13063" width="12.85546875" style="116" customWidth="1"/>
    <col min="13064" max="13064" width="2" style="116" customWidth="1"/>
    <col min="13065" max="13065" width="12.28515625" style="116" customWidth="1"/>
    <col min="13066" max="13066" width="2.140625" style="116" customWidth="1"/>
    <col min="13067" max="13067" width="13.42578125" style="116" customWidth="1"/>
    <col min="13068" max="13068" width="1.7109375" style="116" customWidth="1"/>
    <col min="13069" max="13312" width="9.140625" style="116"/>
    <col min="13313" max="13313" width="44.7109375" style="116" customWidth="1"/>
    <col min="13314" max="13314" width="20.5703125" style="116" customWidth="1"/>
    <col min="13315" max="13315" width="13.28515625" style="116" customWidth="1"/>
    <col min="13316" max="13316" width="2.28515625" style="116" customWidth="1"/>
    <col min="13317" max="13317" width="14" style="116" customWidth="1"/>
    <col min="13318" max="13318" width="2.140625" style="116" customWidth="1"/>
    <col min="13319" max="13319" width="12.85546875" style="116" customWidth="1"/>
    <col min="13320" max="13320" width="2" style="116" customWidth="1"/>
    <col min="13321" max="13321" width="12.28515625" style="116" customWidth="1"/>
    <col min="13322" max="13322" width="2.140625" style="116" customWidth="1"/>
    <col min="13323" max="13323" width="13.42578125" style="116" customWidth="1"/>
    <col min="13324" max="13324" width="1.7109375" style="116" customWidth="1"/>
    <col min="13325" max="13568" width="9.140625" style="116"/>
    <col min="13569" max="13569" width="44.7109375" style="116" customWidth="1"/>
    <col min="13570" max="13570" width="20.5703125" style="116" customWidth="1"/>
    <col min="13571" max="13571" width="13.28515625" style="116" customWidth="1"/>
    <col min="13572" max="13572" width="2.28515625" style="116" customWidth="1"/>
    <col min="13573" max="13573" width="14" style="116" customWidth="1"/>
    <col min="13574" max="13574" width="2.140625" style="116" customWidth="1"/>
    <col min="13575" max="13575" width="12.85546875" style="116" customWidth="1"/>
    <col min="13576" max="13576" width="2" style="116" customWidth="1"/>
    <col min="13577" max="13577" width="12.28515625" style="116" customWidth="1"/>
    <col min="13578" max="13578" width="2.140625" style="116" customWidth="1"/>
    <col min="13579" max="13579" width="13.42578125" style="116" customWidth="1"/>
    <col min="13580" max="13580" width="1.7109375" style="116" customWidth="1"/>
    <col min="13581" max="13824" width="9.140625" style="116"/>
    <col min="13825" max="13825" width="44.7109375" style="116" customWidth="1"/>
    <col min="13826" max="13826" width="20.5703125" style="116" customWidth="1"/>
    <col min="13827" max="13827" width="13.28515625" style="116" customWidth="1"/>
    <col min="13828" max="13828" width="2.28515625" style="116" customWidth="1"/>
    <col min="13829" max="13829" width="14" style="116" customWidth="1"/>
    <col min="13830" max="13830" width="2.140625" style="116" customWidth="1"/>
    <col min="13831" max="13831" width="12.85546875" style="116" customWidth="1"/>
    <col min="13832" max="13832" width="2" style="116" customWidth="1"/>
    <col min="13833" max="13833" width="12.28515625" style="116" customWidth="1"/>
    <col min="13834" max="13834" width="2.140625" style="116" customWidth="1"/>
    <col min="13835" max="13835" width="13.42578125" style="116" customWidth="1"/>
    <col min="13836" max="13836" width="1.7109375" style="116" customWidth="1"/>
    <col min="13837" max="14080" width="9.140625" style="116"/>
    <col min="14081" max="14081" width="44.7109375" style="116" customWidth="1"/>
    <col min="14082" max="14082" width="20.5703125" style="116" customWidth="1"/>
    <col min="14083" max="14083" width="13.28515625" style="116" customWidth="1"/>
    <col min="14084" max="14084" width="2.28515625" style="116" customWidth="1"/>
    <col min="14085" max="14085" width="14" style="116" customWidth="1"/>
    <col min="14086" max="14086" width="2.140625" style="116" customWidth="1"/>
    <col min="14087" max="14087" width="12.85546875" style="116" customWidth="1"/>
    <col min="14088" max="14088" width="2" style="116" customWidth="1"/>
    <col min="14089" max="14089" width="12.28515625" style="116" customWidth="1"/>
    <col min="14090" max="14090" width="2.140625" style="116" customWidth="1"/>
    <col min="14091" max="14091" width="13.42578125" style="116" customWidth="1"/>
    <col min="14092" max="14092" width="1.7109375" style="116" customWidth="1"/>
    <col min="14093" max="14336" width="9.140625" style="116"/>
    <col min="14337" max="14337" width="44.7109375" style="116" customWidth="1"/>
    <col min="14338" max="14338" width="20.5703125" style="116" customWidth="1"/>
    <col min="14339" max="14339" width="13.28515625" style="116" customWidth="1"/>
    <col min="14340" max="14340" width="2.28515625" style="116" customWidth="1"/>
    <col min="14341" max="14341" width="14" style="116" customWidth="1"/>
    <col min="14342" max="14342" width="2.140625" style="116" customWidth="1"/>
    <col min="14343" max="14343" width="12.85546875" style="116" customWidth="1"/>
    <col min="14344" max="14344" width="2" style="116" customWidth="1"/>
    <col min="14345" max="14345" width="12.28515625" style="116" customWidth="1"/>
    <col min="14346" max="14346" width="2.140625" style="116" customWidth="1"/>
    <col min="14347" max="14347" width="13.42578125" style="116" customWidth="1"/>
    <col min="14348" max="14348" width="1.7109375" style="116" customWidth="1"/>
    <col min="14349" max="14592" width="9.140625" style="116"/>
    <col min="14593" max="14593" width="44.7109375" style="116" customWidth="1"/>
    <col min="14594" max="14594" width="20.5703125" style="116" customWidth="1"/>
    <col min="14595" max="14595" width="13.28515625" style="116" customWidth="1"/>
    <col min="14596" max="14596" width="2.28515625" style="116" customWidth="1"/>
    <col min="14597" max="14597" width="14" style="116" customWidth="1"/>
    <col min="14598" max="14598" width="2.140625" style="116" customWidth="1"/>
    <col min="14599" max="14599" width="12.85546875" style="116" customWidth="1"/>
    <col min="14600" max="14600" width="2" style="116" customWidth="1"/>
    <col min="14601" max="14601" width="12.28515625" style="116" customWidth="1"/>
    <col min="14602" max="14602" width="2.140625" style="116" customWidth="1"/>
    <col min="14603" max="14603" width="13.42578125" style="116" customWidth="1"/>
    <col min="14604" max="14604" width="1.7109375" style="116" customWidth="1"/>
    <col min="14605" max="14848" width="9.140625" style="116"/>
    <col min="14849" max="14849" width="44.7109375" style="116" customWidth="1"/>
    <col min="14850" max="14850" width="20.5703125" style="116" customWidth="1"/>
    <col min="14851" max="14851" width="13.28515625" style="116" customWidth="1"/>
    <col min="14852" max="14852" width="2.28515625" style="116" customWidth="1"/>
    <col min="14853" max="14853" width="14" style="116" customWidth="1"/>
    <col min="14854" max="14854" width="2.140625" style="116" customWidth="1"/>
    <col min="14855" max="14855" width="12.85546875" style="116" customWidth="1"/>
    <col min="14856" max="14856" width="2" style="116" customWidth="1"/>
    <col min="14857" max="14857" width="12.28515625" style="116" customWidth="1"/>
    <col min="14858" max="14858" width="2.140625" style="116" customWidth="1"/>
    <col min="14859" max="14859" width="13.42578125" style="116" customWidth="1"/>
    <col min="14860" max="14860" width="1.7109375" style="116" customWidth="1"/>
    <col min="14861" max="15104" width="9.140625" style="116"/>
    <col min="15105" max="15105" width="44.7109375" style="116" customWidth="1"/>
    <col min="15106" max="15106" width="20.5703125" style="116" customWidth="1"/>
    <col min="15107" max="15107" width="13.28515625" style="116" customWidth="1"/>
    <col min="15108" max="15108" width="2.28515625" style="116" customWidth="1"/>
    <col min="15109" max="15109" width="14" style="116" customWidth="1"/>
    <col min="15110" max="15110" width="2.140625" style="116" customWidth="1"/>
    <col min="15111" max="15111" width="12.85546875" style="116" customWidth="1"/>
    <col min="15112" max="15112" width="2" style="116" customWidth="1"/>
    <col min="15113" max="15113" width="12.28515625" style="116" customWidth="1"/>
    <col min="15114" max="15114" width="2.140625" style="116" customWidth="1"/>
    <col min="15115" max="15115" width="13.42578125" style="116" customWidth="1"/>
    <col min="15116" max="15116" width="1.7109375" style="116" customWidth="1"/>
    <col min="15117" max="15360" width="9.140625" style="116"/>
    <col min="15361" max="15361" width="44.7109375" style="116" customWidth="1"/>
    <col min="15362" max="15362" width="20.5703125" style="116" customWidth="1"/>
    <col min="15363" max="15363" width="13.28515625" style="116" customWidth="1"/>
    <col min="15364" max="15364" width="2.28515625" style="116" customWidth="1"/>
    <col min="15365" max="15365" width="14" style="116" customWidth="1"/>
    <col min="15366" max="15366" width="2.140625" style="116" customWidth="1"/>
    <col min="15367" max="15367" width="12.85546875" style="116" customWidth="1"/>
    <col min="15368" max="15368" width="2" style="116" customWidth="1"/>
    <col min="15369" max="15369" width="12.28515625" style="116" customWidth="1"/>
    <col min="15370" max="15370" width="2.140625" style="116" customWidth="1"/>
    <col min="15371" max="15371" width="13.42578125" style="116" customWidth="1"/>
    <col min="15372" max="15372" width="1.7109375" style="116" customWidth="1"/>
    <col min="15373" max="15616" width="9.140625" style="116"/>
    <col min="15617" max="15617" width="44.7109375" style="116" customWidth="1"/>
    <col min="15618" max="15618" width="20.5703125" style="116" customWidth="1"/>
    <col min="15619" max="15619" width="13.28515625" style="116" customWidth="1"/>
    <col min="15620" max="15620" width="2.28515625" style="116" customWidth="1"/>
    <col min="15621" max="15621" width="14" style="116" customWidth="1"/>
    <col min="15622" max="15622" width="2.140625" style="116" customWidth="1"/>
    <col min="15623" max="15623" width="12.85546875" style="116" customWidth="1"/>
    <col min="15624" max="15624" width="2" style="116" customWidth="1"/>
    <col min="15625" max="15625" width="12.28515625" style="116" customWidth="1"/>
    <col min="15626" max="15626" width="2.140625" style="116" customWidth="1"/>
    <col min="15627" max="15627" width="13.42578125" style="116" customWidth="1"/>
    <col min="15628" max="15628" width="1.7109375" style="116" customWidth="1"/>
    <col min="15629" max="15872" width="9.140625" style="116"/>
    <col min="15873" max="15873" width="44.7109375" style="116" customWidth="1"/>
    <col min="15874" max="15874" width="20.5703125" style="116" customWidth="1"/>
    <col min="15875" max="15875" width="13.28515625" style="116" customWidth="1"/>
    <col min="15876" max="15876" width="2.28515625" style="116" customWidth="1"/>
    <col min="15877" max="15877" width="14" style="116" customWidth="1"/>
    <col min="15878" max="15878" width="2.140625" style="116" customWidth="1"/>
    <col min="15879" max="15879" width="12.85546875" style="116" customWidth="1"/>
    <col min="15880" max="15880" width="2" style="116" customWidth="1"/>
    <col min="15881" max="15881" width="12.28515625" style="116" customWidth="1"/>
    <col min="15882" max="15882" width="2.140625" style="116" customWidth="1"/>
    <col min="15883" max="15883" width="13.42578125" style="116" customWidth="1"/>
    <col min="15884" max="15884" width="1.7109375" style="116" customWidth="1"/>
    <col min="15885" max="16128" width="9.140625" style="116"/>
    <col min="16129" max="16129" width="44.7109375" style="116" customWidth="1"/>
    <col min="16130" max="16130" width="20.5703125" style="116" customWidth="1"/>
    <col min="16131" max="16131" width="13.28515625" style="116" customWidth="1"/>
    <col min="16132" max="16132" width="2.28515625" style="116" customWidth="1"/>
    <col min="16133" max="16133" width="14" style="116" customWidth="1"/>
    <col min="16134" max="16134" width="2.140625" style="116" customWidth="1"/>
    <col min="16135" max="16135" width="12.85546875" style="116" customWidth="1"/>
    <col min="16136" max="16136" width="2" style="116" customWidth="1"/>
    <col min="16137" max="16137" width="12.28515625" style="116" customWidth="1"/>
    <col min="16138" max="16138" width="2.140625" style="116" customWidth="1"/>
    <col min="16139" max="16139" width="13.42578125" style="116" customWidth="1"/>
    <col min="16140" max="16140" width="1.7109375" style="116" customWidth="1"/>
    <col min="16141" max="16384" width="9.140625" style="116"/>
  </cols>
  <sheetData>
    <row r="1" spans="1:12" ht="13.5" thickBot="1" x14ac:dyDescent="0.25"/>
    <row r="2" spans="1:12" ht="60.75" thickBot="1" x14ac:dyDescent="0.25">
      <c r="A2" s="140" t="s">
        <v>217</v>
      </c>
      <c r="C2" s="201" t="s">
        <v>115</v>
      </c>
      <c r="D2" s="202"/>
      <c r="E2" s="201" t="s">
        <v>116</v>
      </c>
      <c r="F2" s="202"/>
      <c r="G2" s="201" t="s">
        <v>139</v>
      </c>
      <c r="H2" s="203">
        <v>3</v>
      </c>
      <c r="I2" s="201" t="s">
        <v>159</v>
      </c>
      <c r="J2" s="202"/>
      <c r="K2" s="201" t="s">
        <v>117</v>
      </c>
      <c r="L2" s="202"/>
    </row>
    <row r="3" spans="1:12" ht="18.75" thickBot="1" x14ac:dyDescent="0.3">
      <c r="A3" s="117"/>
      <c r="C3" s="444" t="s">
        <v>118</v>
      </c>
      <c r="D3" s="445"/>
      <c r="E3" s="442" t="s">
        <v>119</v>
      </c>
      <c r="F3" s="445"/>
      <c r="G3" s="442" t="s">
        <v>119</v>
      </c>
      <c r="H3" s="445"/>
      <c r="I3" s="442" t="s">
        <v>118</v>
      </c>
      <c r="J3" s="445"/>
      <c r="K3" s="442" t="s">
        <v>119</v>
      </c>
      <c r="L3" s="443"/>
    </row>
    <row r="4" spans="1:12" ht="14.25" x14ac:dyDescent="0.2">
      <c r="A4" s="118" t="s">
        <v>120</v>
      </c>
      <c r="B4" s="119" t="s">
        <v>121</v>
      </c>
      <c r="C4" s="446">
        <v>6.71610452976606</v>
      </c>
      <c r="D4" s="120"/>
      <c r="E4" s="446">
        <v>10.215054092476349</v>
      </c>
      <c r="F4" s="121"/>
      <c r="G4" s="446">
        <v>11.717958602633789</v>
      </c>
      <c r="H4" s="120"/>
      <c r="I4" s="446">
        <v>10.438141480702845</v>
      </c>
      <c r="J4" s="120"/>
      <c r="K4" s="446">
        <v>18.070078446346091</v>
      </c>
      <c r="L4" s="122"/>
    </row>
    <row r="5" spans="1:12" ht="14.25" x14ac:dyDescent="0.2">
      <c r="A5" s="123" t="s">
        <v>122</v>
      </c>
      <c r="B5" s="124" t="s">
        <v>123</v>
      </c>
      <c r="C5" s="447">
        <v>17.576937903950686</v>
      </c>
      <c r="D5" s="125"/>
      <c r="E5" s="447">
        <v>7.373625252959938</v>
      </c>
      <c r="F5" s="126"/>
      <c r="G5" s="447">
        <v>7.373625252959938</v>
      </c>
      <c r="H5" s="125"/>
      <c r="I5" s="447">
        <v>4.0507973125337253</v>
      </c>
      <c r="J5" s="125"/>
      <c r="K5" s="447">
        <v>4.8257324505836552</v>
      </c>
      <c r="L5" s="127"/>
    </row>
    <row r="6" spans="1:12" ht="15.75" thickBot="1" x14ac:dyDescent="0.3">
      <c r="A6" s="128"/>
      <c r="B6" s="129" t="s">
        <v>124</v>
      </c>
      <c r="C6" s="448">
        <v>24.293042433716746</v>
      </c>
      <c r="D6" s="130"/>
      <c r="E6" s="448">
        <v>17.588679345436287</v>
      </c>
      <c r="F6" s="131">
        <v>2</v>
      </c>
      <c r="G6" s="448">
        <v>19.091583855593726</v>
      </c>
      <c r="H6" s="131">
        <v>2</v>
      </c>
      <c r="I6" s="448">
        <v>14.488938793236571</v>
      </c>
      <c r="J6" s="131">
        <v>2</v>
      </c>
      <c r="K6" s="448">
        <v>22.895810896929746</v>
      </c>
      <c r="L6" s="132">
        <v>2</v>
      </c>
    </row>
    <row r="7" spans="1:12" ht="14.25" x14ac:dyDescent="0.2">
      <c r="A7" s="118" t="s">
        <v>125</v>
      </c>
      <c r="B7" s="119" t="s">
        <v>121</v>
      </c>
      <c r="C7" s="446">
        <v>5.3658387589214858</v>
      </c>
      <c r="D7" s="120"/>
      <c r="E7" s="446">
        <v>8.1837847154666861</v>
      </c>
      <c r="F7" s="121"/>
      <c r="G7" s="446">
        <v>9.3696703055127895</v>
      </c>
      <c r="H7" s="120"/>
      <c r="I7" s="446">
        <v>8.3481648962651551</v>
      </c>
      <c r="J7" s="120"/>
      <c r="K7" s="446">
        <v>14.44197302729415</v>
      </c>
      <c r="L7" s="122"/>
    </row>
    <row r="8" spans="1:12" ht="14.25" x14ac:dyDescent="0.2">
      <c r="A8" s="123" t="s">
        <v>126</v>
      </c>
      <c r="B8" s="124" t="s">
        <v>123</v>
      </c>
      <c r="C8" s="447">
        <v>14.077988341240395</v>
      </c>
      <c r="D8" s="125"/>
      <c r="E8" s="447">
        <v>5.8824621842881051</v>
      </c>
      <c r="F8" s="126"/>
      <c r="G8" s="447">
        <v>4.9400000000000004</v>
      </c>
      <c r="H8" s="125"/>
      <c r="I8" s="447">
        <v>3.2288964085413747</v>
      </c>
      <c r="J8" s="125"/>
      <c r="K8" s="447">
        <v>3.862934248764045</v>
      </c>
      <c r="L8" s="127"/>
    </row>
    <row r="9" spans="1:12" ht="15.75" thickBot="1" x14ac:dyDescent="0.3">
      <c r="A9" s="128"/>
      <c r="B9" s="129" t="s">
        <v>124</v>
      </c>
      <c r="C9" s="448">
        <v>19.443827100161883</v>
      </c>
      <c r="D9" s="130"/>
      <c r="E9" s="448">
        <v>14.066246899754791</v>
      </c>
      <c r="F9" s="131"/>
      <c r="G9" s="448">
        <v>15.193425282372869</v>
      </c>
      <c r="H9" s="131"/>
      <c r="I9" s="448">
        <v>11.577061304806531</v>
      </c>
      <c r="J9" s="131"/>
      <c r="K9" s="448">
        <v>18.304907276058195</v>
      </c>
      <c r="L9" s="132"/>
    </row>
    <row r="10" spans="1:12" ht="14.25" x14ac:dyDescent="0.2">
      <c r="A10" s="118" t="s">
        <v>127</v>
      </c>
      <c r="B10" s="119" t="s">
        <v>121</v>
      </c>
      <c r="C10" s="446">
        <v>20.312693770096647</v>
      </c>
      <c r="D10" s="120"/>
      <c r="E10" s="446">
        <v>47.411940718872991</v>
      </c>
      <c r="F10" s="121"/>
      <c r="G10" s="446">
        <v>31.396614532507769</v>
      </c>
      <c r="H10" s="120"/>
      <c r="I10" s="446">
        <v>27.827216320883849</v>
      </c>
      <c r="J10" s="120"/>
      <c r="K10" s="446">
        <v>36.093191126749765</v>
      </c>
      <c r="L10" s="122"/>
    </row>
    <row r="11" spans="1:12" ht="14.25" x14ac:dyDescent="0.2">
      <c r="A11" s="123"/>
      <c r="B11" s="124" t="s">
        <v>123</v>
      </c>
      <c r="C11" s="447">
        <v>46.883575852020762</v>
      </c>
      <c r="D11" s="125"/>
      <c r="E11" s="447">
        <v>25.807688385359789</v>
      </c>
      <c r="F11" s="126"/>
      <c r="G11" s="447">
        <v>19.467309983133084</v>
      </c>
      <c r="H11" s="125"/>
      <c r="I11" s="447">
        <v>10.778643283785389</v>
      </c>
      <c r="J11" s="125"/>
      <c r="K11" s="447">
        <v>12.856878426737474</v>
      </c>
      <c r="L11" s="127"/>
    </row>
    <row r="12" spans="1:12" ht="15.75" thickBot="1" x14ac:dyDescent="0.3">
      <c r="A12" s="128"/>
      <c r="B12" s="129" t="s">
        <v>124</v>
      </c>
      <c r="C12" s="448">
        <v>67.196269622117413</v>
      </c>
      <c r="D12" s="130"/>
      <c r="E12" s="448">
        <v>73.21962910423278</v>
      </c>
      <c r="F12" s="131">
        <v>2</v>
      </c>
      <c r="G12" s="448">
        <v>50.863924515640853</v>
      </c>
      <c r="H12" s="131">
        <v>2</v>
      </c>
      <c r="I12" s="448">
        <v>38.605859604669234</v>
      </c>
      <c r="J12" s="131">
        <v>2</v>
      </c>
      <c r="K12" s="448">
        <v>48.950069553487239</v>
      </c>
      <c r="L12" s="132">
        <v>2</v>
      </c>
    </row>
    <row r="13" spans="1:12" ht="14.25" x14ac:dyDescent="0.2">
      <c r="A13" s="118" t="s">
        <v>128</v>
      </c>
      <c r="B13" s="119" t="s">
        <v>121</v>
      </c>
      <c r="C13" s="446">
        <v>25.373255050392402</v>
      </c>
      <c r="D13" s="120"/>
      <c r="E13" s="446">
        <v>34.073663191225705</v>
      </c>
      <c r="F13" s="121"/>
      <c r="G13" s="446">
        <v>39.040292939636622</v>
      </c>
      <c r="H13" s="120"/>
      <c r="I13" s="446">
        <v>34.778149680362006</v>
      </c>
      <c r="J13" s="120"/>
      <c r="K13" s="446">
        <v>60.163146172240012</v>
      </c>
      <c r="L13" s="122"/>
    </row>
    <row r="14" spans="1:12" ht="14.25" x14ac:dyDescent="0.2">
      <c r="A14" s="123" t="s">
        <v>129</v>
      </c>
      <c r="B14" s="124" t="s">
        <v>123</v>
      </c>
      <c r="C14" s="447">
        <v>58.613275896140159</v>
      </c>
      <c r="D14" s="125"/>
      <c r="E14" s="447">
        <v>24.563095587885662</v>
      </c>
      <c r="F14" s="126"/>
      <c r="G14" s="447">
        <v>24.316525316687954</v>
      </c>
      <c r="H14" s="125"/>
      <c r="I14" s="447">
        <v>13.467433383988936</v>
      </c>
      <c r="J14" s="125"/>
      <c r="K14" s="447">
        <v>16.074033393793243</v>
      </c>
      <c r="L14" s="127"/>
    </row>
    <row r="15" spans="1:12" ht="15.75" thickBot="1" x14ac:dyDescent="0.3">
      <c r="A15" s="128"/>
      <c r="B15" s="129" t="s">
        <v>124</v>
      </c>
      <c r="C15" s="448">
        <v>83.986530946532554</v>
      </c>
      <c r="D15" s="130"/>
      <c r="E15" s="448">
        <v>58.636758779111368</v>
      </c>
      <c r="F15" s="131">
        <v>2</v>
      </c>
      <c r="G15" s="448">
        <v>63.356818256324573</v>
      </c>
      <c r="H15" s="131">
        <v>2</v>
      </c>
      <c r="I15" s="448">
        <v>48.245583064350939</v>
      </c>
      <c r="J15" s="131">
        <v>2</v>
      </c>
      <c r="K15" s="448">
        <v>76.237179566033262</v>
      </c>
      <c r="L15" s="132">
        <v>2</v>
      </c>
    </row>
    <row r="16" spans="1:12" ht="15.75" thickBot="1" x14ac:dyDescent="0.3">
      <c r="A16" s="133" t="s">
        <v>130</v>
      </c>
      <c r="B16" s="134" t="s">
        <v>124</v>
      </c>
      <c r="C16" s="448">
        <v>62.139299185266729</v>
      </c>
      <c r="D16" s="135"/>
      <c r="F16" s="136"/>
    </row>
    <row r="17" spans="1:12" ht="15" thickBot="1" x14ac:dyDescent="0.25">
      <c r="A17" s="11"/>
      <c r="B17" s="137"/>
      <c r="C17" s="449"/>
      <c r="F17" s="136"/>
    </row>
    <row r="18" spans="1:12" ht="15" thickBot="1" x14ac:dyDescent="0.25">
      <c r="A18" s="138" t="s">
        <v>131</v>
      </c>
      <c r="C18" s="449"/>
      <c r="F18" s="136"/>
    </row>
    <row r="19" spans="1:12" ht="14.25" x14ac:dyDescent="0.2">
      <c r="A19" s="118" t="s">
        <v>218</v>
      </c>
      <c r="B19" s="119" t="s">
        <v>121</v>
      </c>
      <c r="C19" s="446">
        <v>30.403985611634958</v>
      </c>
      <c r="D19" s="120"/>
      <c r="E19" s="446">
        <v>40.835576665742565</v>
      </c>
      <c r="F19" s="121"/>
      <c r="G19" s="446">
        <v>46.754625522286759</v>
      </c>
      <c r="H19" s="120"/>
      <c r="I19" s="446">
        <v>41.656038883481358</v>
      </c>
      <c r="J19" s="120"/>
      <c r="K19" s="446">
        <v>72.083466272766003</v>
      </c>
      <c r="L19" s="122"/>
    </row>
    <row r="20" spans="1:12" ht="14.25" x14ac:dyDescent="0.2">
      <c r="A20" s="123" t="s">
        <v>132</v>
      </c>
      <c r="B20" s="124" t="s">
        <v>123</v>
      </c>
      <c r="C20" s="447">
        <v>69.528312508950876</v>
      </c>
      <c r="D20" s="125"/>
      <c r="E20" s="447">
        <v>29.419430950348399</v>
      </c>
      <c r="F20" s="126"/>
      <c r="G20" s="447">
        <v>29.126408729727398</v>
      </c>
      <c r="H20" s="125"/>
      <c r="I20" s="447">
        <v>16.139663911804679</v>
      </c>
      <c r="J20" s="125"/>
      <c r="K20" s="447">
        <v>19.245699450387278</v>
      </c>
      <c r="L20" s="127"/>
    </row>
    <row r="21" spans="1:12" ht="15.75" thickBot="1" x14ac:dyDescent="0.3">
      <c r="A21" s="128" t="s">
        <v>133</v>
      </c>
      <c r="B21" s="129" t="s">
        <v>124</v>
      </c>
      <c r="C21" s="448">
        <v>99.932298120585841</v>
      </c>
      <c r="D21" s="130"/>
      <c r="E21" s="448">
        <v>70.255007616090964</v>
      </c>
      <c r="F21" s="131"/>
      <c r="G21" s="448">
        <v>75.88103425201416</v>
      </c>
      <c r="H21" s="131"/>
      <c r="I21" s="448">
        <v>57.795702795286033</v>
      </c>
      <c r="J21" s="131"/>
      <c r="K21" s="448">
        <v>91.329165723153281</v>
      </c>
      <c r="L21" s="132"/>
    </row>
    <row r="22" spans="1:12" ht="14.25" x14ac:dyDescent="0.2">
      <c r="A22" s="118" t="s">
        <v>134</v>
      </c>
      <c r="B22" s="119" t="s">
        <v>121</v>
      </c>
      <c r="C22" s="446">
        <v>25.328840750479237</v>
      </c>
      <c r="D22" s="120"/>
      <c r="E22" s="446">
        <v>34.002298480860837</v>
      </c>
      <c r="F22" s="121"/>
      <c r="G22" s="446">
        <v>38.971955342592999</v>
      </c>
      <c r="H22" s="120"/>
      <c r="I22" s="446">
        <v>34.717272699176078</v>
      </c>
      <c r="J22" s="120"/>
      <c r="K22" s="446">
        <v>60.057834338480149</v>
      </c>
      <c r="L22" s="122"/>
    </row>
    <row r="23" spans="1:12" ht="14.25" x14ac:dyDescent="0.2">
      <c r="A23" s="123" t="s">
        <v>219</v>
      </c>
      <c r="B23" s="124" t="s">
        <v>123</v>
      </c>
      <c r="C23" s="447">
        <v>58.510677013601274</v>
      </c>
      <c r="D23" s="125"/>
      <c r="E23" s="447">
        <v>24.520099421565277</v>
      </c>
      <c r="F23" s="126"/>
      <c r="G23" s="447">
        <v>24.520099421565277</v>
      </c>
      <c r="H23" s="125"/>
      <c r="I23" s="447">
        <v>13.314929705018239</v>
      </c>
      <c r="J23" s="125"/>
      <c r="K23" s="447">
        <v>16.045896801205959</v>
      </c>
      <c r="L23" s="127"/>
    </row>
    <row r="24" spans="1:12" ht="15.75" thickBot="1" x14ac:dyDescent="0.3">
      <c r="A24" s="128"/>
      <c r="B24" s="129" t="s">
        <v>124</v>
      </c>
      <c r="C24" s="448">
        <v>83.839517764080512</v>
      </c>
      <c r="D24" s="130">
        <v>1</v>
      </c>
      <c r="E24" s="448">
        <v>58.522397902426114</v>
      </c>
      <c r="F24" s="131"/>
      <c r="G24" s="448">
        <v>63.492054764158276</v>
      </c>
      <c r="H24" s="131"/>
      <c r="I24" s="448">
        <v>48.032202404194315</v>
      </c>
      <c r="J24" s="131"/>
      <c r="K24" s="448">
        <v>76.103731139686104</v>
      </c>
      <c r="L24" s="132"/>
    </row>
    <row r="25" spans="1:12" ht="14.25" x14ac:dyDescent="0.2">
      <c r="A25" s="118" t="s">
        <v>135</v>
      </c>
      <c r="B25" s="119" t="s">
        <v>121</v>
      </c>
      <c r="C25" s="446">
        <v>22.797128764313793</v>
      </c>
      <c r="D25" s="120"/>
      <c r="E25" s="446">
        <v>30.614961610482077</v>
      </c>
      <c r="F25" s="121"/>
      <c r="G25" s="446">
        <v>35.068899363921275</v>
      </c>
      <c r="H25" s="120"/>
      <c r="I25" s="446">
        <v>31.236168718198595</v>
      </c>
      <c r="J25" s="120"/>
      <c r="K25" s="446">
        <v>54.056739260162068</v>
      </c>
      <c r="L25" s="122"/>
    </row>
    <row r="26" spans="1:12" ht="14.25" x14ac:dyDescent="0.2">
      <c r="A26" s="123" t="s">
        <v>220</v>
      </c>
      <c r="B26" s="124" t="s">
        <v>123</v>
      </c>
      <c r="C26" s="447">
        <v>52.65023260118128</v>
      </c>
      <c r="D26" s="125"/>
      <c r="E26" s="447">
        <v>22.070433657173719</v>
      </c>
      <c r="F26" s="126"/>
      <c r="G26" s="447">
        <v>22.070433657173719</v>
      </c>
      <c r="H26" s="125"/>
      <c r="I26" s="447">
        <v>12.09595726723488</v>
      </c>
      <c r="J26" s="125"/>
      <c r="K26" s="447">
        <v>14.440135032202878</v>
      </c>
      <c r="L26" s="127"/>
    </row>
    <row r="27" spans="1:12" ht="15.75" thickBot="1" x14ac:dyDescent="0.3">
      <c r="A27" s="128"/>
      <c r="B27" s="129" t="s">
        <v>124</v>
      </c>
      <c r="C27" s="448">
        <v>75.44736136549507</v>
      </c>
      <c r="D27" s="130"/>
      <c r="E27" s="448">
        <v>52.685395267655792</v>
      </c>
      <c r="F27" s="131"/>
      <c r="G27" s="448">
        <v>57.139333021094998</v>
      </c>
      <c r="H27" s="131"/>
      <c r="I27" s="448">
        <v>43.332125985433478</v>
      </c>
      <c r="J27" s="131"/>
      <c r="K27" s="448">
        <v>68.49687429236495</v>
      </c>
      <c r="L27" s="132"/>
    </row>
    <row r="30" spans="1:12" x14ac:dyDescent="0.2">
      <c r="A30" s="139" t="s">
        <v>136</v>
      </c>
    </row>
    <row r="31" spans="1:12" x14ac:dyDescent="0.2">
      <c r="A31" s="116" t="s">
        <v>137</v>
      </c>
    </row>
    <row r="32" spans="1:12" x14ac:dyDescent="0.2">
      <c r="A32" s="116" t="s">
        <v>138</v>
      </c>
    </row>
    <row r="33" spans="1:3" ht="13.5" thickBot="1" x14ac:dyDescent="0.25"/>
    <row r="34" spans="1:3" ht="15.75" thickBot="1" x14ac:dyDescent="0.3">
      <c r="A34" s="144" t="s">
        <v>158</v>
      </c>
      <c r="B34" s="160"/>
      <c r="C34" s="177">
        <v>314.10727029824562</v>
      </c>
    </row>
  </sheetData>
  <sheetProtection selectLockedCells="1" selectUnlockedCells="1"/>
  <mergeCells count="5">
    <mergeCell ref="K3:L3"/>
    <mergeCell ref="C3:D3"/>
    <mergeCell ref="E3:F3"/>
    <mergeCell ref="G3:H3"/>
    <mergeCell ref="I3:J3"/>
  </mergeCells>
  <phoneticPr fontId="22" type="noConversion"/>
  <pageMargins left="0.74803149606299213" right="0.74803149606299213" top="0.98425196850393704" bottom="0.98425196850393704" header="0.51181102362204722" footer="0.51181102362204722"/>
  <pageSetup paperSize="9" scale="85" orientation="landscape" r:id="rId1"/>
  <headerFooter alignWithMargins="0">
    <oddHeader>&amp;LCOMUNE DI LASTRA A SIGNA</oddHeader>
    <oddFooter>&amp;LTabelle dei contributi relativi ai permessi di costruire ed alle denunce di inizio dell'attività.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5</vt:i4>
      </vt:variant>
    </vt:vector>
  </HeadingPairs>
  <TitlesOfParts>
    <vt:vector size="12" baseType="lpstr">
      <vt:lpstr>COSTO DI COST.</vt:lpstr>
      <vt:lpstr>CONTRIBUTO COSTO COST.</vt:lpstr>
      <vt:lpstr>ONERI URB.</vt:lpstr>
      <vt:lpstr>TABELLA RIEPILOGATIVA</vt:lpstr>
      <vt:lpstr>RATE SCIA-CILA</vt:lpstr>
      <vt:lpstr>RATE PERMESSO</vt:lpstr>
      <vt:lpstr>TABELLA ONERI 2025</vt:lpstr>
      <vt:lpstr>'CONTRIBUTO COSTO COST.'!Area_stampa</vt:lpstr>
      <vt:lpstr>'COSTO DI COST.'!Area_stampa</vt:lpstr>
      <vt:lpstr>'ONERI URB.'!Area_stampa</vt:lpstr>
      <vt:lpstr>'RATE SCIA-CILA'!Area_stampa</vt:lpstr>
      <vt:lpstr>'TABELLA RIEPILOGATIVA'!Area_stampa</vt:lpstr>
    </vt:vector>
  </TitlesOfParts>
  <Company>Comune di Lastra a Signa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 Filippini</dc:creator>
  <cp:lastModifiedBy>Franco Filippini</cp:lastModifiedBy>
  <cp:lastPrinted>2024-11-08T11:10:16Z</cp:lastPrinted>
  <dcterms:created xsi:type="dcterms:W3CDTF">2001-03-20T09:06:48Z</dcterms:created>
  <dcterms:modified xsi:type="dcterms:W3CDTF">2024-12-23T10:14:48Z</dcterms:modified>
</cp:coreProperties>
</file>